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aiib365-my.sharepoint.com/personal/ji_huang_aiib_org/Documents/桌面/"/>
    </mc:Choice>
  </mc:AlternateContent>
  <xr:revisionPtr revIDLastSave="1" documentId="11_FCE9690686F11290D2C595E949D379C497D6AB1A" xr6:coauthVersionLast="47" xr6:coauthVersionMax="47" xr10:uidLastSave="{CD9B7138-063F-489C-B9DC-8B5A3C29AD17}"/>
  <bookViews>
    <workbookView xWindow="-14430" yWindow="-16320" windowWidth="29040" windowHeight="15720" tabRatio="599" xr2:uid="{00000000-000D-0000-FFFF-FFFF00000000}"/>
  </bookViews>
  <sheets>
    <sheet name="PP_1022-ENG" sheetId="25" r:id="rId1"/>
    <sheet name="采购计划1225_中文" sheetId="24" state="hidden" r:id="rId2"/>
    <sheet name="PP_1225-ENG" sheetId="23" state="hidden" r:id="rId3"/>
    <sheet name="采购计划0530_中文" sheetId="18" state="hidden" r:id="rId4"/>
    <sheet name="PP_0530-ENG" sheetId="20" state="hidden" r:id="rId5"/>
    <sheet name="时间表_1225-CHN" sheetId="17" state="hidden" r:id="rId6"/>
    <sheet name="采购计划0422_中文 (2)" sheetId="21" state="hidden" r:id="rId7"/>
    <sheet name="PP_0422-ENG (2)" sheetId="22" state="hidden" r:id="rId8"/>
    <sheet name="20231229预算(绿化纳入单工)" sheetId="8" state="hidden" r:id="rId9"/>
    <sheet name="采购计划_20231218" sheetId="1" state="hidden" r:id="rId10"/>
    <sheet name="20231207预算" sheetId="6" state="hidden" r:id="rId11"/>
    <sheet name="工艺设备投资(前表4.2))_20231212" sheetId="7" state="hidden" r:id="rId12"/>
    <sheet name="20231205可研预算" sheetId="4" state="hidden" r:id="rId13"/>
    <sheet name="1205V2(FSR)" sheetId="5" state="hidden" r:id="rId14"/>
    <sheet name="20231019可研预算" sheetId="2" state="hidden" r:id="rId15"/>
    <sheet name="投融资计划" sheetId="3" state="hidden" r:id="rId16"/>
  </sheets>
  <externalReferences>
    <externalReference r:id="rId17"/>
    <externalReference r:id="rId18"/>
    <externalReference r:id="rId19"/>
  </externalReferences>
  <definedNames>
    <definedName name="_xlnm._FilterDatabase" localSheetId="5" hidden="1">#N/A</definedName>
    <definedName name="_xlnm._FilterDatabase" localSheetId="9" hidden="1">#N/A</definedName>
    <definedName name="_xlnm.Print_Area" localSheetId="0">'PP_1022-ENG'!$A$1:$Q$41</definedName>
    <definedName name="Z_C44671B2_E96D_4767_8FF6_2426A08982D0_.wvu.Cols" localSheetId="5" hidden="1">#N/A</definedName>
    <definedName name="Z_C44671B2_E96D_4767_8FF6_2426A08982D0_.wvu.Cols" localSheetId="9" hidden="1">#N/A</definedName>
    <definedName name="Z_C44671B2_E96D_4767_8FF6_2426A08982D0_.wvu.FilterData" localSheetId="5" hidden="1">#N/A</definedName>
    <definedName name="Z_C44671B2_E96D_4767_8FF6_2426A08982D0_.wvu.FilterData" localSheetId="9" hidden="1">#N/A</definedName>
  </definedNames>
  <calcPr calcId="191029"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 l="1"/>
  <c r="E15" i="3"/>
  <c r="F15" i="3" s="1"/>
  <c r="F12" i="3"/>
  <c r="D140" i="2"/>
  <c r="G140" i="2" s="1"/>
  <c r="D139" i="2"/>
  <c r="G139" i="2" s="1"/>
  <c r="D138" i="2"/>
  <c r="F138" i="2" s="1"/>
  <c r="D137" i="2"/>
  <c r="F137" i="2" s="1"/>
  <c r="D136" i="2"/>
  <c r="G136" i="2" s="1"/>
  <c r="D135" i="2"/>
  <c r="F135" i="2" s="1"/>
  <c r="D134" i="2"/>
  <c r="F134" i="2" s="1"/>
  <c r="D133" i="2"/>
  <c r="F133" i="2" s="1"/>
  <c r="E129" i="2"/>
  <c r="E128" i="2"/>
  <c r="D127" i="2"/>
  <c r="F127" i="2" s="1"/>
  <c r="D126" i="2"/>
  <c r="G126" i="2" s="1"/>
  <c r="D125" i="2"/>
  <c r="G125" i="2" s="1"/>
  <c r="E124" i="2"/>
  <c r="F124" i="2" s="1"/>
  <c r="E123" i="2"/>
  <c r="F123" i="2" s="1"/>
  <c r="E122" i="2"/>
  <c r="F122" i="2" s="1"/>
  <c r="E121" i="2"/>
  <c r="F121" i="2" s="1"/>
  <c r="D120" i="2"/>
  <c r="E119" i="2"/>
  <c r="F119" i="2" s="1"/>
  <c r="F118" i="2"/>
  <c r="E118" i="2"/>
  <c r="F117" i="2"/>
  <c r="E117" i="2"/>
  <c r="F116" i="2"/>
  <c r="E116" i="2"/>
  <c r="D115" i="2"/>
  <c r="D114" i="2"/>
  <c r="G114" i="2" s="1"/>
  <c r="E113" i="2"/>
  <c r="F113" i="2" s="1"/>
  <c r="G112" i="2"/>
  <c r="E111" i="2"/>
  <c r="F111" i="2" s="1"/>
  <c r="D110" i="2"/>
  <c r="E109" i="2"/>
  <c r="F109" i="2" s="1"/>
  <c r="D109" i="2"/>
  <c r="F107" i="2"/>
  <c r="D107" i="2"/>
  <c r="D106" i="2"/>
  <c r="G106" i="2" s="1"/>
  <c r="G146" i="2" s="1"/>
  <c r="I105" i="2"/>
  <c r="I146" i="2" s="1"/>
  <c r="D105" i="2"/>
  <c r="D146" i="2" s="1"/>
  <c r="D104" i="2"/>
  <c r="D102" i="2"/>
  <c r="F97" i="2" s="1"/>
  <c r="D101" i="2"/>
  <c r="D100" i="2"/>
  <c r="D99" i="2"/>
  <c r="D98" i="2"/>
  <c r="D97" i="2"/>
  <c r="D96" i="2"/>
  <c r="M287" i="4"/>
  <c r="M286" i="4"/>
  <c r="M285" i="4"/>
  <c r="M284" i="4"/>
  <c r="M283" i="4"/>
  <c r="M282" i="4"/>
  <c r="M281" i="4"/>
  <c r="M278" i="4"/>
  <c r="M275" i="4"/>
  <c r="O252" i="4" s="1"/>
  <c r="M269" i="4"/>
  <c r="M250" i="4"/>
  <c r="O228" i="4"/>
  <c r="M204" i="4"/>
  <c r="M180" i="4"/>
  <c r="O179" i="4" s="1"/>
  <c r="M168" i="4"/>
  <c r="M124" i="4"/>
  <c r="O57" i="4" s="1"/>
  <c r="M18" i="4"/>
  <c r="O6" i="4" s="1"/>
  <c r="C21" i="7"/>
  <c r="C20" i="7"/>
  <c r="C18" i="7"/>
  <c r="C16" i="7"/>
  <c r="C14" i="7"/>
  <c r="C8" i="7"/>
  <c r="C7" i="7"/>
  <c r="C19" i="7" s="1"/>
  <c r="C17" i="7" s="1"/>
  <c r="C6" i="7"/>
  <c r="C5" i="7"/>
  <c r="C4" i="7"/>
  <c r="L395" i="6"/>
  <c r="F392" i="6"/>
  <c r="F391" i="6"/>
  <c r="E391" i="6"/>
  <c r="F373" i="6"/>
  <c r="F369" i="6"/>
  <c r="G368" i="6"/>
  <c r="E368" i="6"/>
  <c r="F368" i="6" s="1"/>
  <c r="G367" i="6"/>
  <c r="E367" i="6" s="1"/>
  <c r="F362" i="6"/>
  <c r="F361" i="6"/>
  <c r="F360" i="6"/>
  <c r="E360" i="6"/>
  <c r="F358" i="6"/>
  <c r="E358" i="6"/>
  <c r="E337" i="6"/>
  <c r="F337" i="6" s="1"/>
  <c r="E336" i="6"/>
  <c r="F336" i="6" s="1"/>
  <c r="E335" i="6"/>
  <c r="F335" i="6" s="1"/>
  <c r="E334" i="6"/>
  <c r="E333" i="6" s="1"/>
  <c r="F333" i="6" s="1"/>
  <c r="V332" i="6"/>
  <c r="V331" i="6"/>
  <c r="G328" i="6"/>
  <c r="F328" i="6"/>
  <c r="G327" i="6"/>
  <c r="F327" i="6"/>
  <c r="T326" i="6"/>
  <c r="S326" i="6"/>
  <c r="T330" i="6" s="1"/>
  <c r="F326" i="6"/>
  <c r="E326" i="6"/>
  <c r="V325" i="6"/>
  <c r="S325" i="6"/>
  <c r="F324" i="6"/>
  <c r="F323" i="6"/>
  <c r="I313" i="6"/>
  <c r="G313" i="6"/>
  <c r="F313" i="6"/>
  <c r="C313" i="6"/>
  <c r="I312" i="6"/>
  <c r="G312" i="6"/>
  <c r="C312" i="6"/>
  <c r="F312" i="6" s="1"/>
  <c r="I311" i="6"/>
  <c r="G311" i="6"/>
  <c r="C311" i="6" s="1"/>
  <c r="F311" i="6" s="1"/>
  <c r="I310" i="6"/>
  <c r="G310" i="6"/>
  <c r="C310" i="6" s="1"/>
  <c r="F310" i="6" s="1"/>
  <c r="I309" i="6"/>
  <c r="C309" i="6"/>
  <c r="C308" i="6" s="1"/>
  <c r="F308" i="6" s="1"/>
  <c r="G308" i="6"/>
  <c r="I307" i="6"/>
  <c r="I306" i="6"/>
  <c r="G305" i="6"/>
  <c r="G306" i="6" s="1"/>
  <c r="G304" i="6"/>
  <c r="F303" i="6"/>
  <c r="E302" i="6"/>
  <c r="D302" i="6"/>
  <c r="G295" i="6"/>
  <c r="G296" i="6" s="1"/>
  <c r="C295" i="6"/>
  <c r="E294" i="6"/>
  <c r="D294" i="6"/>
  <c r="G291" i="6"/>
  <c r="G292" i="6" s="1"/>
  <c r="C291" i="6"/>
  <c r="E290" i="6"/>
  <c r="D290" i="6"/>
  <c r="G288" i="6"/>
  <c r="G289" i="6" s="1"/>
  <c r="C289" i="6" s="1"/>
  <c r="F289" i="6" s="1"/>
  <c r="C288" i="6"/>
  <c r="C286" i="6" s="1"/>
  <c r="F286" i="6" s="1"/>
  <c r="G287" i="6"/>
  <c r="C287" i="6"/>
  <c r="F287" i="6" s="1"/>
  <c r="E286" i="6"/>
  <c r="D286" i="6"/>
  <c r="G283" i="6"/>
  <c r="G284" i="6" s="1"/>
  <c r="E282" i="6"/>
  <c r="E277" i="6" s="1"/>
  <c r="D282" i="6"/>
  <c r="G279" i="6"/>
  <c r="G280" i="6" s="1"/>
  <c r="E278" i="6"/>
  <c r="D278" i="6"/>
  <c r="D277" i="6" s="1"/>
  <c r="F276" i="6"/>
  <c r="F274" i="6"/>
  <c r="D274" i="6"/>
  <c r="D260" i="6" s="1"/>
  <c r="F260" i="6" s="1"/>
  <c r="D273" i="6"/>
  <c r="F273" i="6" s="1"/>
  <c r="F261" i="6"/>
  <c r="E260" i="6"/>
  <c r="I257" i="6"/>
  <c r="D256" i="6"/>
  <c r="D248" i="6" s="1"/>
  <c r="G251" i="6"/>
  <c r="C251" i="6" s="1"/>
  <c r="F251" i="6" s="1"/>
  <c r="I250" i="6"/>
  <c r="G250" i="6"/>
  <c r="C250" i="6" s="1"/>
  <c r="F250" i="6" s="1"/>
  <c r="G249" i="6"/>
  <c r="C249" i="6"/>
  <c r="E248" i="6"/>
  <c r="D245" i="6"/>
  <c r="D236" i="6" s="1"/>
  <c r="D235" i="6" s="1"/>
  <c r="I239" i="6"/>
  <c r="G238" i="6"/>
  <c r="C238" i="6" s="1"/>
  <c r="F238" i="6" s="1"/>
  <c r="H237" i="6"/>
  <c r="E236" i="6"/>
  <c r="E235" i="6" s="1"/>
  <c r="I232" i="6"/>
  <c r="D231" i="6"/>
  <c r="F231" i="6" s="1"/>
  <c r="G226" i="6"/>
  <c r="G227" i="6" s="1"/>
  <c r="C226" i="6"/>
  <c r="F226" i="6" s="1"/>
  <c r="I225" i="6"/>
  <c r="G225" i="6"/>
  <c r="C225" i="6" s="1"/>
  <c r="G224" i="6"/>
  <c r="C224" i="6"/>
  <c r="F224" i="6" s="1"/>
  <c r="E223" i="6"/>
  <c r="D223" i="6"/>
  <c r="D220" i="6"/>
  <c r="F220" i="6" s="1"/>
  <c r="I214" i="6"/>
  <c r="G213" i="6"/>
  <c r="G214" i="6" s="1"/>
  <c r="F213" i="6"/>
  <c r="C213" i="6"/>
  <c r="H212" i="6"/>
  <c r="B212" i="6"/>
  <c r="B237" i="6" s="1"/>
  <c r="E211" i="6"/>
  <c r="D211" i="6"/>
  <c r="E210" i="6"/>
  <c r="E209" i="6" s="1"/>
  <c r="D210" i="6"/>
  <c r="T209" i="6"/>
  <c r="F206" i="6"/>
  <c r="D206" i="6"/>
  <c r="G199" i="6"/>
  <c r="C199" i="6" s="1"/>
  <c r="F199" i="6" s="1"/>
  <c r="H198" i="6"/>
  <c r="T197" i="6"/>
  <c r="E197" i="6"/>
  <c r="D197" i="6"/>
  <c r="D194" i="6"/>
  <c r="D185" i="6" s="1"/>
  <c r="G187" i="6"/>
  <c r="G188" i="6" s="1"/>
  <c r="C187" i="6"/>
  <c r="F187" i="6" s="1"/>
  <c r="H186" i="6"/>
  <c r="U185" i="6"/>
  <c r="E185" i="6"/>
  <c r="F182" i="6"/>
  <c r="D182" i="6"/>
  <c r="D173" i="6" s="1"/>
  <c r="G176" i="6"/>
  <c r="C176" i="6" s="1"/>
  <c r="F176" i="6" s="1"/>
  <c r="G175" i="6"/>
  <c r="F175" i="6"/>
  <c r="C175" i="6"/>
  <c r="H174" i="6"/>
  <c r="E173" i="6"/>
  <c r="D170" i="6"/>
  <c r="F170" i="6" s="1"/>
  <c r="G163" i="6"/>
  <c r="C163" i="6" s="1"/>
  <c r="F163" i="6" s="1"/>
  <c r="H162" i="6"/>
  <c r="E161" i="6"/>
  <c r="D161" i="6"/>
  <c r="F158" i="6"/>
  <c r="D158" i="6"/>
  <c r="G151" i="6"/>
  <c r="G152" i="6" s="1"/>
  <c r="H150" i="6"/>
  <c r="T149" i="6"/>
  <c r="T161" i="6" s="1"/>
  <c r="T173" i="6" s="1"/>
  <c r="E149" i="6"/>
  <c r="D149" i="6"/>
  <c r="D146" i="6"/>
  <c r="F146" i="6" s="1"/>
  <c r="G139" i="6"/>
  <c r="G140" i="6" s="1"/>
  <c r="C139" i="6"/>
  <c r="F139" i="6" s="1"/>
  <c r="H138" i="6"/>
  <c r="T137" i="6"/>
  <c r="E137" i="6"/>
  <c r="D137" i="6"/>
  <c r="D134" i="6"/>
  <c r="D125" i="6" s="1"/>
  <c r="G128" i="6"/>
  <c r="G129" i="6" s="1"/>
  <c r="C128" i="6"/>
  <c r="F128" i="6" s="1"/>
  <c r="G127" i="6"/>
  <c r="C127" i="6"/>
  <c r="F127" i="6" s="1"/>
  <c r="H126" i="6"/>
  <c r="E125" i="6"/>
  <c r="F122" i="6"/>
  <c r="D122" i="6"/>
  <c r="G115" i="6"/>
  <c r="G116" i="6" s="1"/>
  <c r="H114" i="6"/>
  <c r="T113" i="6"/>
  <c r="E113" i="6"/>
  <c r="D113" i="6"/>
  <c r="F110" i="6"/>
  <c r="D110" i="6"/>
  <c r="F109" i="6"/>
  <c r="D109" i="6"/>
  <c r="D100" i="6" s="1"/>
  <c r="G102" i="6"/>
  <c r="G103" i="6" s="1"/>
  <c r="T100" i="6"/>
  <c r="E100" i="6"/>
  <c r="F97" i="6"/>
  <c r="D97" i="6"/>
  <c r="D96" i="6"/>
  <c r="D87" i="6" s="1"/>
  <c r="G89" i="6"/>
  <c r="G90" i="6" s="1"/>
  <c r="C89" i="6"/>
  <c r="F89" i="6" s="1"/>
  <c r="H88" i="6"/>
  <c r="T87" i="6"/>
  <c r="E87" i="6"/>
  <c r="F84" i="6"/>
  <c r="D84" i="6"/>
  <c r="F83" i="6"/>
  <c r="D83" i="6"/>
  <c r="G76" i="6"/>
  <c r="G77" i="6" s="1"/>
  <c r="E74" i="6"/>
  <c r="E73" i="6" s="1"/>
  <c r="D74" i="6"/>
  <c r="C72" i="6"/>
  <c r="F72" i="6" s="1"/>
  <c r="D68" i="6"/>
  <c r="F68" i="6" s="1"/>
  <c r="I67" i="6"/>
  <c r="I66" i="6"/>
  <c r="I65" i="6"/>
  <c r="I64" i="6"/>
  <c r="I63" i="6"/>
  <c r="G62" i="6"/>
  <c r="G63" i="6" s="1"/>
  <c r="E62" i="6"/>
  <c r="D62" i="6"/>
  <c r="F58" i="6"/>
  <c r="D58" i="6"/>
  <c r="D52" i="6" s="1"/>
  <c r="I57" i="6"/>
  <c r="I56" i="6"/>
  <c r="I55" i="6"/>
  <c r="I54" i="6"/>
  <c r="I53" i="6"/>
  <c r="G53" i="6"/>
  <c r="G52" i="6"/>
  <c r="E359" i="6" s="1"/>
  <c r="F359" i="6" s="1"/>
  <c r="E52" i="6"/>
  <c r="F44" i="6"/>
  <c r="D44" i="6"/>
  <c r="D43" i="6"/>
  <c r="D34" i="6" s="1"/>
  <c r="G36" i="6"/>
  <c r="G37" i="6" s="1"/>
  <c r="C36" i="6"/>
  <c r="F36" i="6" s="1"/>
  <c r="B35" i="6"/>
  <c r="B75" i="6" s="1"/>
  <c r="B88" i="6" s="1"/>
  <c r="B101" i="6" s="1"/>
  <c r="B114" i="6" s="1"/>
  <c r="B126" i="6" s="1"/>
  <c r="B138" i="6" s="1"/>
  <c r="B150" i="6" s="1"/>
  <c r="B162" i="6" s="1"/>
  <c r="B174" i="6" s="1"/>
  <c r="B186" i="6" s="1"/>
  <c r="E34" i="6"/>
  <c r="D31" i="6"/>
  <c r="F31" i="6" s="1"/>
  <c r="F30" i="6"/>
  <c r="D30" i="6"/>
  <c r="G24" i="6"/>
  <c r="C24" i="6" s="1"/>
  <c r="F24" i="6" s="1"/>
  <c r="G23" i="6"/>
  <c r="C23" i="6" s="1"/>
  <c r="F23" i="6" s="1"/>
  <c r="I22" i="6"/>
  <c r="I35" i="6" s="1"/>
  <c r="C22" i="6"/>
  <c r="B22" i="6"/>
  <c r="E21" i="6"/>
  <c r="D21" i="6"/>
  <c r="D18" i="6"/>
  <c r="F18" i="6" s="1"/>
  <c r="F17" i="6"/>
  <c r="D17" i="6"/>
  <c r="G14" i="6"/>
  <c r="G11" i="6"/>
  <c r="G12" i="6" s="1"/>
  <c r="G13" i="6" s="1"/>
  <c r="C13" i="6" s="1"/>
  <c r="F13" i="6" s="1"/>
  <c r="F11" i="6"/>
  <c r="C11" i="6"/>
  <c r="G10" i="6"/>
  <c r="F10" i="6"/>
  <c r="C10" i="6"/>
  <c r="C9" i="6"/>
  <c r="E8" i="6"/>
  <c r="E6" i="6" s="1"/>
  <c r="E18" i="1"/>
  <c r="E16" i="1"/>
  <c r="E15" i="1"/>
  <c r="E14" i="1"/>
  <c r="D330" i="22"/>
  <c r="E330" i="22" s="1"/>
  <c r="F330" i="22" s="1"/>
  <c r="G329" i="22"/>
  <c r="E329" i="22"/>
  <c r="F329" i="22" s="1"/>
  <c r="D329" i="22"/>
  <c r="G328" i="22"/>
  <c r="F328" i="22"/>
  <c r="E328" i="22"/>
  <c r="D328" i="22"/>
  <c r="D327" i="22"/>
  <c r="G327" i="22" s="1"/>
  <c r="D326" i="22"/>
  <c r="G323" i="22"/>
  <c r="F323" i="22"/>
  <c r="E323" i="22"/>
  <c r="D323" i="22"/>
  <c r="D322" i="22"/>
  <c r="D321" i="22"/>
  <c r="E321" i="22" s="1"/>
  <c r="F321" i="22" s="1"/>
  <c r="E320" i="22"/>
  <c r="F320" i="22" s="1"/>
  <c r="D320" i="22"/>
  <c r="G320" i="22" s="1"/>
  <c r="D319" i="22"/>
  <c r="G319" i="22" s="1"/>
  <c r="D318" i="22"/>
  <c r="G318" i="22" s="1"/>
  <c r="D317" i="22"/>
  <c r="G316" i="22"/>
  <c r="F316" i="22"/>
  <c r="E316" i="22"/>
  <c r="D316" i="22"/>
  <c r="G315" i="22"/>
  <c r="D315" i="22"/>
  <c r="E315" i="22" s="1"/>
  <c r="F315" i="22" s="1"/>
  <c r="F314" i="22"/>
  <c r="D314" i="22"/>
  <c r="E314" i="22" s="1"/>
  <c r="E313" i="22"/>
  <c r="F313" i="22" s="1"/>
  <c r="D313" i="22"/>
  <c r="G313" i="22" s="1"/>
  <c r="D312" i="22"/>
  <c r="G312" i="22" s="1"/>
  <c r="G311" i="22"/>
  <c r="F311" i="22"/>
  <c r="E311" i="22"/>
  <c r="D311" i="22"/>
  <c r="D310" i="22"/>
  <c r="G309" i="22"/>
  <c r="D309" i="22"/>
  <c r="D308" i="22"/>
  <c r="G308" i="22" s="1"/>
  <c r="D307" i="22"/>
  <c r="G307" i="22" s="1"/>
  <c r="G306" i="22"/>
  <c r="F306" i="22"/>
  <c r="E306" i="22"/>
  <c r="G305" i="22"/>
  <c r="F305" i="22"/>
  <c r="E305" i="22"/>
  <c r="G304" i="22"/>
  <c r="E304" i="22"/>
  <c r="F304" i="22" s="1"/>
  <c r="G303" i="22"/>
  <c r="E303" i="22"/>
  <c r="F303" i="22" s="1"/>
  <c r="G302" i="22"/>
  <c r="F302" i="22"/>
  <c r="E302" i="22"/>
  <c r="G301" i="22"/>
  <c r="E301" i="22"/>
  <c r="F301" i="22" s="1"/>
  <c r="G299" i="22"/>
  <c r="F299" i="22"/>
  <c r="E299" i="22"/>
  <c r="G298" i="22"/>
  <c r="F298" i="22"/>
  <c r="E298" i="22"/>
  <c r="G297" i="22"/>
  <c r="E297" i="22"/>
  <c r="F297" i="22" s="1"/>
  <c r="G296" i="22"/>
  <c r="F296" i="22"/>
  <c r="E296" i="22"/>
  <c r="G295" i="22"/>
  <c r="F295" i="22"/>
  <c r="E295" i="22"/>
  <c r="D294" i="22"/>
  <c r="C294" i="22"/>
  <c r="G293" i="22"/>
  <c r="E293" i="22"/>
  <c r="F293" i="22" s="1"/>
  <c r="G292" i="22"/>
  <c r="F292" i="22"/>
  <c r="E292" i="22"/>
  <c r="D292" i="22"/>
  <c r="G291" i="22"/>
  <c r="F291" i="22"/>
  <c r="D291" i="22"/>
  <c r="E291" i="22" s="1"/>
  <c r="D290" i="22"/>
  <c r="E289" i="22"/>
  <c r="F289" i="22" s="1"/>
  <c r="D289" i="22"/>
  <c r="G289" i="22" s="1"/>
  <c r="D288" i="22"/>
  <c r="G288" i="22" s="1"/>
  <c r="G287" i="22"/>
  <c r="F287" i="22"/>
  <c r="E287" i="22"/>
  <c r="D287" i="22"/>
  <c r="D286" i="22"/>
  <c r="G285" i="22"/>
  <c r="F285" i="22"/>
  <c r="E285" i="22"/>
  <c r="D285" i="22"/>
  <c r="E284" i="22"/>
  <c r="F284" i="22" s="1"/>
  <c r="D284" i="22"/>
  <c r="G284" i="22" s="1"/>
  <c r="D283" i="22"/>
  <c r="E283" i="22" s="1"/>
  <c r="F283" i="22" s="1"/>
  <c r="F282" i="22"/>
  <c r="E282" i="22"/>
  <c r="D282" i="22"/>
  <c r="G282" i="22" s="1"/>
  <c r="E281" i="22"/>
  <c r="F281" i="22" s="1"/>
  <c r="D281" i="22"/>
  <c r="G281" i="22" s="1"/>
  <c r="D280" i="22"/>
  <c r="D279" i="22"/>
  <c r="G278" i="22"/>
  <c r="F278" i="22"/>
  <c r="E278" i="22"/>
  <c r="D278" i="22"/>
  <c r="C277" i="22"/>
  <c r="G276" i="22"/>
  <c r="E276" i="22"/>
  <c r="F276" i="22" s="1"/>
  <c r="D276" i="22"/>
  <c r="G275" i="22"/>
  <c r="F275" i="22"/>
  <c r="E275" i="22"/>
  <c r="D275" i="22"/>
  <c r="F274" i="22"/>
  <c r="E274" i="22"/>
  <c r="G274" i="22" s="1"/>
  <c r="D274" i="22"/>
  <c r="C274" i="22"/>
  <c r="D273" i="22"/>
  <c r="C273" i="22"/>
  <c r="G272" i="22"/>
  <c r="F272" i="22"/>
  <c r="E272" i="22"/>
  <c r="D272" i="22"/>
  <c r="C272" i="22"/>
  <c r="F271" i="22"/>
  <c r="E271" i="22"/>
  <c r="G271" i="22" s="1"/>
  <c r="D271" i="22"/>
  <c r="C271" i="22"/>
  <c r="G270" i="22"/>
  <c r="E270" i="22"/>
  <c r="D270" i="22"/>
  <c r="F270" i="22" s="1"/>
  <c r="C270" i="22"/>
  <c r="G269" i="22"/>
  <c r="F269" i="22"/>
  <c r="E269" i="22"/>
  <c r="D269" i="22"/>
  <c r="C269" i="22"/>
  <c r="F268" i="22"/>
  <c r="E268" i="22"/>
  <c r="G268" i="22" s="1"/>
  <c r="D268" i="22"/>
  <c r="C268" i="22"/>
  <c r="F267" i="22"/>
  <c r="D267" i="22"/>
  <c r="E267" i="22" s="1"/>
  <c r="G267" i="22" s="1"/>
  <c r="C267" i="22"/>
  <c r="D266" i="22"/>
  <c r="C266" i="22"/>
  <c r="G265" i="22"/>
  <c r="F265" i="22"/>
  <c r="D265" i="22"/>
  <c r="E265" i="22" s="1"/>
  <c r="C265" i="22"/>
  <c r="E264" i="22"/>
  <c r="G264" i="22" s="1"/>
  <c r="D264" i="22"/>
  <c r="F264" i="22" s="1"/>
  <c r="C264" i="22"/>
  <c r="E263" i="22"/>
  <c r="D263" i="22"/>
  <c r="G263" i="22" s="1"/>
  <c r="D262" i="22"/>
  <c r="E262" i="22" s="1"/>
  <c r="D261" i="22"/>
  <c r="G260" i="22"/>
  <c r="F260" i="22"/>
  <c r="E260" i="22"/>
  <c r="D260" i="22"/>
  <c r="G259" i="22"/>
  <c r="F259" i="22"/>
  <c r="E259" i="22"/>
  <c r="D259" i="22"/>
  <c r="G258" i="22"/>
  <c r="D258" i="22"/>
  <c r="E258" i="22" s="1"/>
  <c r="F257" i="22"/>
  <c r="E257" i="22"/>
  <c r="D257" i="22"/>
  <c r="G257" i="22" s="1"/>
  <c r="D256" i="22"/>
  <c r="G255" i="22"/>
  <c r="F255" i="22"/>
  <c r="D255" i="22"/>
  <c r="E255" i="22" s="1"/>
  <c r="F254" i="22"/>
  <c r="D254" i="22"/>
  <c r="G253" i="22"/>
  <c r="F253" i="22"/>
  <c r="E253" i="22"/>
  <c r="D253" i="22"/>
  <c r="D252" i="22"/>
  <c r="E252" i="22" s="1"/>
  <c r="G251" i="22"/>
  <c r="F251" i="22"/>
  <c r="D251" i="22"/>
  <c r="E251" i="22" s="1"/>
  <c r="F250" i="22"/>
  <c r="E250" i="22"/>
  <c r="D250" i="22"/>
  <c r="G250" i="22" s="1"/>
  <c r="E249" i="22"/>
  <c r="D249" i="22"/>
  <c r="D248" i="22"/>
  <c r="G248" i="22" s="1"/>
  <c r="D247" i="22"/>
  <c r="G246" i="22"/>
  <c r="F246" i="22"/>
  <c r="E246" i="22"/>
  <c r="D246" i="22"/>
  <c r="G245" i="22"/>
  <c r="E245" i="22"/>
  <c r="D245" i="22"/>
  <c r="F245" i="22" s="1"/>
  <c r="D244" i="22"/>
  <c r="D241" i="22"/>
  <c r="G241" i="22" s="1"/>
  <c r="G240" i="22"/>
  <c r="D240" i="22"/>
  <c r="E240" i="22" s="1"/>
  <c r="F240" i="22" s="1"/>
  <c r="D239" i="22"/>
  <c r="G238" i="22"/>
  <c r="F238" i="22"/>
  <c r="E238" i="22"/>
  <c r="D238" i="22"/>
  <c r="G237" i="22"/>
  <c r="D237" i="22"/>
  <c r="E237" i="22" s="1"/>
  <c r="F237" i="22" s="1"/>
  <c r="G236" i="22"/>
  <c r="D236" i="22"/>
  <c r="E236" i="22" s="1"/>
  <c r="F236" i="22" s="1"/>
  <c r="F235" i="22"/>
  <c r="E235" i="22"/>
  <c r="D235" i="22"/>
  <c r="G235" i="22" s="1"/>
  <c r="D234" i="22"/>
  <c r="G234" i="22" s="1"/>
  <c r="E233" i="22"/>
  <c r="F233" i="22" s="1"/>
  <c r="D233" i="22"/>
  <c r="G233" i="22" s="1"/>
  <c r="D232" i="22"/>
  <c r="G231" i="22"/>
  <c r="F231" i="22"/>
  <c r="E231" i="22"/>
  <c r="D231" i="22"/>
  <c r="D230" i="22"/>
  <c r="G230" i="22" s="1"/>
  <c r="G229" i="22"/>
  <c r="F229" i="22"/>
  <c r="D229" i="22"/>
  <c r="E229" i="22" s="1"/>
  <c r="E228" i="22"/>
  <c r="F228" i="22" s="1"/>
  <c r="D228" i="22"/>
  <c r="G228" i="22" s="1"/>
  <c r="E227" i="22"/>
  <c r="F227" i="22" s="1"/>
  <c r="D227" i="22"/>
  <c r="G227" i="22" s="1"/>
  <c r="D226" i="22"/>
  <c r="D225" i="22"/>
  <c r="G224" i="22"/>
  <c r="F224" i="22"/>
  <c r="E224" i="22"/>
  <c r="D224" i="22"/>
  <c r="G223" i="22"/>
  <c r="F223" i="22"/>
  <c r="E223" i="22"/>
  <c r="D223" i="22"/>
  <c r="G222" i="22"/>
  <c r="F222" i="22"/>
  <c r="D222" i="22"/>
  <c r="E222" i="22" s="1"/>
  <c r="F221" i="22"/>
  <c r="E221" i="22"/>
  <c r="D221" i="22"/>
  <c r="G221" i="22" s="1"/>
  <c r="D220" i="22"/>
  <c r="G220" i="22" s="1"/>
  <c r="F219" i="22"/>
  <c r="E219" i="22"/>
  <c r="D219" i="22"/>
  <c r="G219" i="22" s="1"/>
  <c r="D218" i="22"/>
  <c r="G217" i="22"/>
  <c r="F217" i="22"/>
  <c r="E217" i="22"/>
  <c r="D217" i="22"/>
  <c r="D216" i="22"/>
  <c r="G215" i="22"/>
  <c r="D215" i="22"/>
  <c r="E215" i="22" s="1"/>
  <c r="F215" i="22" s="1"/>
  <c r="F214" i="22"/>
  <c r="E214" i="22"/>
  <c r="D214" i="22"/>
  <c r="G214" i="22" s="1"/>
  <c r="D213" i="22"/>
  <c r="D210" i="22"/>
  <c r="G209" i="22"/>
  <c r="F209" i="22"/>
  <c r="E209" i="22"/>
  <c r="D209" i="22"/>
  <c r="G208" i="22"/>
  <c r="D208" i="22"/>
  <c r="E208" i="22" s="1"/>
  <c r="F208" i="22" s="1"/>
  <c r="F207" i="22"/>
  <c r="D207" i="22"/>
  <c r="E207" i="22" s="1"/>
  <c r="E206" i="22"/>
  <c r="F206" i="22" s="1"/>
  <c r="D206" i="22"/>
  <c r="G206" i="22" s="1"/>
  <c r="D205" i="22"/>
  <c r="G205" i="22" s="1"/>
  <c r="G204" i="22"/>
  <c r="E204" i="22"/>
  <c r="F204" i="22" s="1"/>
  <c r="D204" i="22"/>
  <c r="D203" i="22"/>
  <c r="G202" i="22"/>
  <c r="F202" i="22"/>
  <c r="E202" i="22"/>
  <c r="D202" i="22"/>
  <c r="G201" i="22"/>
  <c r="F201" i="22"/>
  <c r="E201" i="22"/>
  <c r="D201" i="22"/>
  <c r="F200" i="22"/>
  <c r="D200" i="22"/>
  <c r="E200" i="22" s="1"/>
  <c r="F199" i="22"/>
  <c r="E199" i="22"/>
  <c r="D199" i="22"/>
  <c r="G199" i="22" s="1"/>
  <c r="D198" i="22"/>
  <c r="D197" i="22"/>
  <c r="G197" i="22" s="1"/>
  <c r="D196" i="22"/>
  <c r="G195" i="22"/>
  <c r="F195" i="22"/>
  <c r="E195" i="22"/>
  <c r="D195" i="22"/>
  <c r="D194" i="22"/>
  <c r="D193" i="22"/>
  <c r="F192" i="22"/>
  <c r="E192" i="22"/>
  <c r="D192" i="22"/>
  <c r="G192" i="22" s="1"/>
  <c r="D191" i="22"/>
  <c r="G191" i="22" s="1"/>
  <c r="G190" i="22"/>
  <c r="D190" i="22"/>
  <c r="E190" i="22" s="1"/>
  <c r="F190" i="22" s="1"/>
  <c r="D189" i="22"/>
  <c r="G188" i="22"/>
  <c r="F188" i="22"/>
  <c r="E188" i="22"/>
  <c r="D188" i="22"/>
  <c r="G187" i="22"/>
  <c r="E187" i="22"/>
  <c r="F187" i="22" s="1"/>
  <c r="D187" i="22"/>
  <c r="G186" i="22"/>
  <c r="D186" i="22"/>
  <c r="E186" i="22" s="1"/>
  <c r="F186" i="22" s="1"/>
  <c r="F185" i="22"/>
  <c r="E185" i="22"/>
  <c r="D185" i="22"/>
  <c r="G185" i="22" s="1"/>
  <c r="D184" i="22"/>
  <c r="G184" i="22" s="1"/>
  <c r="G183" i="22"/>
  <c r="D183" i="22"/>
  <c r="E183" i="22" s="1"/>
  <c r="F183" i="22" s="1"/>
  <c r="D182" i="22"/>
  <c r="G181" i="22"/>
  <c r="F181" i="22"/>
  <c r="E181" i="22"/>
  <c r="D181" i="22"/>
  <c r="D180" i="22"/>
  <c r="G180" i="22" s="1"/>
  <c r="D179" i="22"/>
  <c r="E179" i="22" s="1"/>
  <c r="F179" i="22" s="1"/>
  <c r="F178" i="22"/>
  <c r="E178" i="22"/>
  <c r="D178" i="22"/>
  <c r="G178" i="22" s="1"/>
  <c r="E177" i="22"/>
  <c r="F177" i="22" s="1"/>
  <c r="D177" i="22"/>
  <c r="G177" i="22" s="1"/>
  <c r="D176" i="22"/>
  <c r="D175" i="22"/>
  <c r="G174" i="22"/>
  <c r="F174" i="22"/>
  <c r="E174" i="22"/>
  <c r="D174" i="22"/>
  <c r="G173" i="22"/>
  <c r="E173" i="22"/>
  <c r="F173" i="22" s="1"/>
  <c r="D173" i="22"/>
  <c r="G172" i="22"/>
  <c r="F172" i="22"/>
  <c r="D172" i="22"/>
  <c r="E172" i="22" s="1"/>
  <c r="F171" i="22"/>
  <c r="E171" i="22"/>
  <c r="D171" i="22"/>
  <c r="G171" i="22" s="1"/>
  <c r="D170" i="22"/>
  <c r="G169" i="22"/>
  <c r="D169" i="22"/>
  <c r="E169" i="22" s="1"/>
  <c r="F169" i="22" s="1"/>
  <c r="D168" i="22"/>
  <c r="G167" i="22"/>
  <c r="F167" i="22"/>
  <c r="E167" i="22"/>
  <c r="D167" i="22"/>
  <c r="E166" i="22"/>
  <c r="F166" i="22" s="1"/>
  <c r="D166" i="22"/>
  <c r="G166" i="22" s="1"/>
  <c r="D165" i="22"/>
  <c r="F164" i="22"/>
  <c r="E164" i="22"/>
  <c r="D164" i="22"/>
  <c r="G164" i="22" s="1"/>
  <c r="D163" i="22"/>
  <c r="G163" i="22" s="1"/>
  <c r="D162" i="22"/>
  <c r="G162" i="22" s="1"/>
  <c r="D161" i="22"/>
  <c r="G160" i="22"/>
  <c r="F160" i="22"/>
  <c r="E160" i="22"/>
  <c r="D160" i="22"/>
  <c r="G159" i="22"/>
  <c r="D159" i="22"/>
  <c r="E159" i="22" s="1"/>
  <c r="F159" i="22" s="1"/>
  <c r="F158" i="22"/>
  <c r="D158" i="22"/>
  <c r="E158" i="22" s="1"/>
  <c r="E157" i="22"/>
  <c r="F157" i="22" s="1"/>
  <c r="D157" i="22"/>
  <c r="G157" i="22" s="1"/>
  <c r="E156" i="22"/>
  <c r="F156" i="22" s="1"/>
  <c r="D156" i="22"/>
  <c r="G156" i="22" s="1"/>
  <c r="G155" i="22"/>
  <c r="F155" i="22"/>
  <c r="E155" i="22"/>
  <c r="D155" i="22"/>
  <c r="D154" i="22"/>
  <c r="G153" i="22"/>
  <c r="F153" i="22"/>
  <c r="E153" i="22"/>
  <c r="D153" i="22"/>
  <c r="G152" i="22"/>
  <c r="D152" i="22"/>
  <c r="E152" i="22" s="1"/>
  <c r="F152" i="22" s="1"/>
  <c r="D151" i="22"/>
  <c r="E151" i="22" s="1"/>
  <c r="F151" i="22" s="1"/>
  <c r="F150" i="22"/>
  <c r="E150" i="22"/>
  <c r="D150" i="22"/>
  <c r="G150" i="22" s="1"/>
  <c r="D149" i="22"/>
  <c r="E148" i="22"/>
  <c r="F148" i="22" s="1"/>
  <c r="D148" i="22"/>
  <c r="G148" i="22" s="1"/>
  <c r="D147" i="22"/>
  <c r="G146" i="22"/>
  <c r="F146" i="22"/>
  <c r="E146" i="22"/>
  <c r="D146" i="22"/>
  <c r="D145" i="22"/>
  <c r="D144" i="22"/>
  <c r="E143" i="22"/>
  <c r="F143" i="22" s="1"/>
  <c r="D143" i="22"/>
  <c r="G143" i="22" s="1"/>
  <c r="D142" i="22"/>
  <c r="G141" i="22"/>
  <c r="D141" i="22"/>
  <c r="E141" i="22" s="1"/>
  <c r="F141" i="22" s="1"/>
  <c r="D140" i="22"/>
  <c r="G139" i="22"/>
  <c r="F139" i="22"/>
  <c r="E139" i="22"/>
  <c r="D139" i="22"/>
  <c r="D138" i="22"/>
  <c r="G137" i="22"/>
  <c r="D137" i="22"/>
  <c r="E137" i="22" s="1"/>
  <c r="F137" i="22" s="1"/>
  <c r="F136" i="22"/>
  <c r="E136" i="22"/>
  <c r="D136" i="22"/>
  <c r="G136" i="22" s="1"/>
  <c r="D135" i="22"/>
  <c r="G135" i="22" s="1"/>
  <c r="G134" i="22"/>
  <c r="F134" i="22"/>
  <c r="E134" i="22"/>
  <c r="D134" i="22"/>
  <c r="D133" i="22"/>
  <c r="G132" i="22"/>
  <c r="F132" i="22"/>
  <c r="E132" i="22"/>
  <c r="D132" i="22"/>
  <c r="D131" i="22"/>
  <c r="G131" i="22" s="1"/>
  <c r="D130" i="22"/>
  <c r="E129" i="22"/>
  <c r="F129" i="22" s="1"/>
  <c r="D129" i="22"/>
  <c r="G129" i="22" s="1"/>
  <c r="E128" i="22"/>
  <c r="F128" i="22" s="1"/>
  <c r="D128" i="22"/>
  <c r="G128" i="22" s="1"/>
  <c r="D127" i="22"/>
  <c r="D126" i="22"/>
  <c r="G125" i="22"/>
  <c r="F125" i="22"/>
  <c r="E125" i="22"/>
  <c r="D125" i="22"/>
  <c r="G124" i="22"/>
  <c r="E124" i="22"/>
  <c r="F124" i="22" s="1"/>
  <c r="D124" i="22"/>
  <c r="G123" i="22"/>
  <c r="F123" i="22"/>
  <c r="D123" i="22"/>
  <c r="E123" i="22" s="1"/>
  <c r="F122" i="22"/>
  <c r="E122" i="22"/>
  <c r="D122" i="22"/>
  <c r="G122" i="22" s="1"/>
  <c r="D121" i="22"/>
  <c r="G121" i="22" s="1"/>
  <c r="D120" i="22"/>
  <c r="G120" i="22" s="1"/>
  <c r="D119" i="22"/>
  <c r="G118" i="22"/>
  <c r="F118" i="22"/>
  <c r="E118" i="22"/>
  <c r="D118" i="22"/>
  <c r="D117" i="22"/>
  <c r="D116" i="22"/>
  <c r="F115" i="22"/>
  <c r="E115" i="22"/>
  <c r="D115" i="22"/>
  <c r="G115" i="22" s="1"/>
  <c r="D114" i="22"/>
  <c r="G114" i="22" s="1"/>
  <c r="D113" i="22"/>
  <c r="G113" i="22" s="1"/>
  <c r="D112" i="22"/>
  <c r="G111" i="22"/>
  <c r="F111" i="22"/>
  <c r="E111" i="22"/>
  <c r="D111" i="22"/>
  <c r="G110" i="22"/>
  <c r="D110" i="22"/>
  <c r="E110" i="22" s="1"/>
  <c r="F110" i="22" s="1"/>
  <c r="F109" i="22"/>
  <c r="D109" i="22"/>
  <c r="E109" i="22" s="1"/>
  <c r="E108" i="22"/>
  <c r="F108" i="22" s="1"/>
  <c r="D108" i="22"/>
  <c r="G108" i="22" s="1"/>
  <c r="D107" i="22"/>
  <c r="G107" i="22" s="1"/>
  <c r="G106" i="22"/>
  <c r="E106" i="22"/>
  <c r="F106" i="22" s="1"/>
  <c r="D106" i="22"/>
  <c r="D105" i="22"/>
  <c r="G104" i="22"/>
  <c r="F104" i="22"/>
  <c r="E104" i="22"/>
  <c r="D104" i="22"/>
  <c r="F103" i="22"/>
  <c r="E103" i="22"/>
  <c r="D103" i="22"/>
  <c r="G103" i="22" s="1"/>
  <c r="G102" i="22"/>
  <c r="D102" i="22"/>
  <c r="E102" i="22" s="1"/>
  <c r="F102" i="22" s="1"/>
  <c r="E101" i="22"/>
  <c r="F101" i="22" s="1"/>
  <c r="D101" i="22"/>
  <c r="G101" i="22" s="1"/>
  <c r="D100" i="22"/>
  <c r="D99" i="22"/>
  <c r="G99" i="22" s="1"/>
  <c r="D98" i="22"/>
  <c r="G97" i="22"/>
  <c r="F97" i="22"/>
  <c r="E97" i="22"/>
  <c r="D97" i="22"/>
  <c r="D96" i="22"/>
  <c r="D95" i="22"/>
  <c r="E94" i="22"/>
  <c r="F94" i="22" s="1"/>
  <c r="D94" i="22"/>
  <c r="G94" i="22" s="1"/>
  <c r="E93" i="22"/>
  <c r="F93" i="22" s="1"/>
  <c r="D93" i="22"/>
  <c r="G93" i="22" s="1"/>
  <c r="G92" i="22"/>
  <c r="D92" i="22"/>
  <c r="E92" i="22" s="1"/>
  <c r="F92" i="22" s="1"/>
  <c r="D91" i="22"/>
  <c r="G90" i="22"/>
  <c r="F90" i="22"/>
  <c r="E90" i="22"/>
  <c r="D90" i="22"/>
  <c r="G89" i="22"/>
  <c r="D89" i="22"/>
  <c r="E89" i="22" s="1"/>
  <c r="F89" i="22" s="1"/>
  <c r="G88" i="22"/>
  <c r="D88" i="22"/>
  <c r="E88" i="22" s="1"/>
  <c r="F88" i="22" s="1"/>
  <c r="F87" i="22"/>
  <c r="E87" i="22"/>
  <c r="D87" i="22"/>
  <c r="G87" i="22" s="1"/>
  <c r="D86" i="22"/>
  <c r="G86" i="22" s="1"/>
  <c r="G85" i="22"/>
  <c r="D85" i="22"/>
  <c r="E85" i="22" s="1"/>
  <c r="F85" i="22" s="1"/>
  <c r="D84" i="22"/>
  <c r="G83" i="22"/>
  <c r="F83" i="22"/>
  <c r="E83" i="22"/>
  <c r="D83" i="22"/>
  <c r="D82" i="22"/>
  <c r="G82" i="22" s="1"/>
  <c r="D81" i="22"/>
  <c r="F80" i="22"/>
  <c r="E80" i="22"/>
  <c r="D80" i="22"/>
  <c r="G80" i="22" s="1"/>
  <c r="E79" i="22"/>
  <c r="F79" i="22" s="1"/>
  <c r="D79" i="22"/>
  <c r="G79" i="22" s="1"/>
  <c r="D78" i="22"/>
  <c r="D77" i="22"/>
  <c r="G76" i="22"/>
  <c r="F76" i="22"/>
  <c r="E76" i="22"/>
  <c r="D76" i="22"/>
  <c r="G75" i="22"/>
  <c r="F75" i="22"/>
  <c r="E75" i="22"/>
  <c r="D75" i="22"/>
  <c r="G74" i="22"/>
  <c r="F74" i="22"/>
  <c r="D74" i="22"/>
  <c r="E74" i="22" s="1"/>
  <c r="F73" i="22"/>
  <c r="E73" i="22"/>
  <c r="D73" i="22"/>
  <c r="G73" i="22" s="1"/>
  <c r="D72" i="22"/>
  <c r="D71" i="22"/>
  <c r="G71" i="22" s="1"/>
  <c r="D70" i="22"/>
  <c r="G69" i="22"/>
  <c r="F69" i="22"/>
  <c r="E69" i="22"/>
  <c r="D69" i="22"/>
  <c r="D68" i="22"/>
  <c r="G68" i="22" s="1"/>
  <c r="G67" i="22"/>
  <c r="F67" i="22"/>
  <c r="D67" i="22"/>
  <c r="E67" i="22" s="1"/>
  <c r="E66" i="22"/>
  <c r="F66" i="22" s="1"/>
  <c r="D66" i="22"/>
  <c r="G66" i="22" s="1"/>
  <c r="D65" i="22"/>
  <c r="G65" i="22" s="1"/>
  <c r="D64" i="22"/>
  <c r="G64" i="22" s="1"/>
  <c r="D63" i="22"/>
  <c r="G62" i="22"/>
  <c r="F62" i="22"/>
  <c r="E62" i="22"/>
  <c r="D62" i="22"/>
  <c r="G61" i="22"/>
  <c r="D61" i="22"/>
  <c r="E61" i="22" s="1"/>
  <c r="F61" i="22" s="1"/>
  <c r="F60" i="22"/>
  <c r="D60" i="22"/>
  <c r="E60" i="22" s="1"/>
  <c r="E59" i="22"/>
  <c r="F59" i="22" s="1"/>
  <c r="D59" i="22"/>
  <c r="G59" i="22" s="1"/>
  <c r="D58" i="22"/>
  <c r="G58" i="22" s="1"/>
  <c r="G57" i="22"/>
  <c r="F57" i="22"/>
  <c r="E57" i="22"/>
  <c r="D57" i="22"/>
  <c r="D56" i="22"/>
  <c r="G55" i="22"/>
  <c r="F55" i="22"/>
  <c r="E55" i="22"/>
  <c r="D55" i="22"/>
  <c r="G54" i="22"/>
  <c r="D54" i="22"/>
  <c r="E54" i="22" s="1"/>
  <c r="F54" i="22" s="1"/>
  <c r="D53" i="22"/>
  <c r="D52" i="22"/>
  <c r="G52" i="22" s="1"/>
  <c r="D51" i="22"/>
  <c r="E50" i="22"/>
  <c r="F50" i="22" s="1"/>
  <c r="D50" i="22"/>
  <c r="G50" i="22" s="1"/>
  <c r="D49" i="22"/>
  <c r="G48" i="22"/>
  <c r="F48" i="22"/>
  <c r="E48" i="22"/>
  <c r="D48" i="22"/>
  <c r="D47" i="22"/>
  <c r="D46" i="22"/>
  <c r="E45" i="22"/>
  <c r="F45" i="22" s="1"/>
  <c r="D45" i="22"/>
  <c r="G45" i="22" s="1"/>
  <c r="D44" i="22"/>
  <c r="G44" i="22" s="1"/>
  <c r="G43" i="22"/>
  <c r="D43" i="22"/>
  <c r="E43" i="22" s="1"/>
  <c r="F43" i="22" s="1"/>
  <c r="D42" i="22"/>
  <c r="G41" i="22"/>
  <c r="F41" i="22"/>
  <c r="E41" i="22"/>
  <c r="D41" i="22"/>
  <c r="D40" i="22"/>
  <c r="E40" i="22" s="1"/>
  <c r="F40" i="22" s="1"/>
  <c r="G39" i="22"/>
  <c r="D39" i="22"/>
  <c r="E39" i="22" s="1"/>
  <c r="F39" i="22" s="1"/>
  <c r="D38" i="22"/>
  <c r="D37" i="22"/>
  <c r="G37" i="22" s="1"/>
  <c r="D36" i="22"/>
  <c r="E36" i="22" s="1"/>
  <c r="F36" i="22" s="1"/>
  <c r="D35" i="22"/>
  <c r="G34" i="22"/>
  <c r="F34" i="22"/>
  <c r="E34" i="22"/>
  <c r="D34" i="22"/>
  <c r="D33" i="22"/>
  <c r="G33" i="22" s="1"/>
  <c r="D32" i="22"/>
  <c r="D31" i="22"/>
  <c r="E30" i="22"/>
  <c r="F30" i="22" s="1"/>
  <c r="D30" i="22"/>
  <c r="G30" i="22" s="1"/>
  <c r="G29" i="22"/>
  <c r="F29" i="22"/>
  <c r="D29" i="22"/>
  <c r="G28" i="22"/>
  <c r="F28" i="22"/>
  <c r="D28" i="22"/>
  <c r="F27" i="22"/>
  <c r="D27" i="22"/>
  <c r="G27" i="22" s="1"/>
  <c r="G26" i="22"/>
  <c r="F26" i="22"/>
  <c r="D26" i="22"/>
  <c r="G25" i="22"/>
  <c r="F25" i="22"/>
  <c r="D25" i="22"/>
  <c r="G24" i="22"/>
  <c r="F24" i="22"/>
  <c r="D24" i="22"/>
  <c r="F23" i="22"/>
  <c r="D23" i="22"/>
  <c r="G23" i="22" s="1"/>
  <c r="F22" i="22"/>
  <c r="D22" i="22"/>
  <c r="G22" i="22" s="1"/>
  <c r="F21" i="22"/>
  <c r="D21" i="22"/>
  <c r="G21" i="22" s="1"/>
  <c r="F20" i="22"/>
  <c r="D20" i="22"/>
  <c r="G20" i="22" s="1"/>
  <c r="G19" i="22"/>
  <c r="F19" i="22"/>
  <c r="D19" i="22"/>
  <c r="F18" i="22"/>
  <c r="D18" i="22"/>
  <c r="G18" i="22" s="1"/>
  <c r="G17" i="22"/>
  <c r="F17" i="22"/>
  <c r="D17" i="22"/>
  <c r="F16" i="22"/>
  <c r="D16" i="22"/>
  <c r="G16" i="22" s="1"/>
  <c r="G15" i="22"/>
  <c r="F15" i="22"/>
  <c r="D15" i="22"/>
  <c r="F14" i="22"/>
  <c r="D14" i="22"/>
  <c r="G14" i="22" s="1"/>
  <c r="F13" i="22"/>
  <c r="D13" i="22"/>
  <c r="G13" i="22" s="1"/>
  <c r="G12" i="22"/>
  <c r="F12" i="22"/>
  <c r="D12" i="22"/>
  <c r="F11" i="22"/>
  <c r="D11" i="22"/>
  <c r="G11" i="22" s="1"/>
  <c r="G10" i="22"/>
  <c r="F10" i="22"/>
  <c r="D10" i="22"/>
  <c r="F9" i="22"/>
  <c r="D9" i="22"/>
  <c r="G9" i="22" s="1"/>
  <c r="F8" i="22"/>
  <c r="D8" i="22"/>
  <c r="D345" i="21"/>
  <c r="G330" i="21"/>
  <c r="F330" i="21"/>
  <c r="E330" i="21"/>
  <c r="D330" i="21"/>
  <c r="G329" i="21"/>
  <c r="D329" i="21"/>
  <c r="E329" i="21" s="1"/>
  <c r="F329" i="21" s="1"/>
  <c r="F328" i="21"/>
  <c r="D328" i="21"/>
  <c r="E328" i="21" s="1"/>
  <c r="D327" i="21"/>
  <c r="G327" i="21" s="1"/>
  <c r="E326" i="21"/>
  <c r="F326" i="21" s="1"/>
  <c r="D326" i="21"/>
  <c r="G326" i="21" s="1"/>
  <c r="D323" i="21"/>
  <c r="G322" i="21"/>
  <c r="F322" i="21"/>
  <c r="E322" i="21"/>
  <c r="D322" i="21"/>
  <c r="G321" i="21"/>
  <c r="D321" i="21"/>
  <c r="E321" i="21" s="1"/>
  <c r="F321" i="21" s="1"/>
  <c r="D320" i="21"/>
  <c r="D319" i="21"/>
  <c r="G319" i="21" s="1"/>
  <c r="D318" i="21"/>
  <c r="D317" i="21"/>
  <c r="G317" i="21" s="1"/>
  <c r="D316" i="21"/>
  <c r="G315" i="21"/>
  <c r="F315" i="21"/>
  <c r="E315" i="21"/>
  <c r="D315" i="21"/>
  <c r="D314" i="21"/>
  <c r="D313" i="21"/>
  <c r="E312" i="21"/>
  <c r="F312" i="21" s="1"/>
  <c r="D312" i="21"/>
  <c r="G312" i="21" s="1"/>
  <c r="D311" i="21"/>
  <c r="G310" i="21"/>
  <c r="D310" i="21"/>
  <c r="E310" i="21" s="1"/>
  <c r="F310" i="21" s="1"/>
  <c r="D309" i="21"/>
  <c r="G309" i="21" s="1"/>
  <c r="D308" i="21"/>
  <c r="G308" i="21" s="1"/>
  <c r="E307" i="21"/>
  <c r="F307" i="21" s="1"/>
  <c r="D307" i="21"/>
  <c r="G307" i="21" s="1"/>
  <c r="G306" i="21"/>
  <c r="F306" i="21"/>
  <c r="E306" i="21"/>
  <c r="G305" i="21"/>
  <c r="E305" i="21"/>
  <c r="F305" i="21" s="1"/>
  <c r="G304" i="21"/>
  <c r="E304" i="21"/>
  <c r="F304" i="21" s="1"/>
  <c r="G303" i="21"/>
  <c r="F303" i="21"/>
  <c r="E303" i="21"/>
  <c r="G302" i="21"/>
  <c r="E302" i="21"/>
  <c r="F302" i="21" s="1"/>
  <c r="G301" i="21"/>
  <c r="E301" i="21"/>
  <c r="F301" i="21" s="1"/>
  <c r="G299" i="21"/>
  <c r="F299" i="21"/>
  <c r="E299" i="21"/>
  <c r="G298" i="21"/>
  <c r="E298" i="21"/>
  <c r="F298" i="21" s="1"/>
  <c r="G297" i="21"/>
  <c r="E297" i="21"/>
  <c r="F297" i="21" s="1"/>
  <c r="G296" i="21"/>
  <c r="F296" i="21"/>
  <c r="E296" i="21"/>
  <c r="G295" i="21"/>
  <c r="E295" i="21"/>
  <c r="F295" i="21" s="1"/>
  <c r="E294" i="21"/>
  <c r="F294" i="21" s="1"/>
  <c r="D294" i="21"/>
  <c r="G294" i="21" s="1"/>
  <c r="C294" i="21"/>
  <c r="G293" i="21"/>
  <c r="E293" i="21"/>
  <c r="F293" i="21" s="1"/>
  <c r="D292" i="21"/>
  <c r="G291" i="21"/>
  <c r="F291" i="21"/>
  <c r="E291" i="21"/>
  <c r="D291" i="21"/>
  <c r="G290" i="21"/>
  <c r="E290" i="21"/>
  <c r="F290" i="21" s="1"/>
  <c r="D290" i="21"/>
  <c r="G289" i="21"/>
  <c r="D289" i="21"/>
  <c r="E289" i="21" s="1"/>
  <c r="F289" i="21" s="1"/>
  <c r="D288" i="21"/>
  <c r="G288" i="21" s="1"/>
  <c r="D287" i="21"/>
  <c r="G287" i="21" s="1"/>
  <c r="G286" i="21"/>
  <c r="F286" i="21"/>
  <c r="E286" i="21"/>
  <c r="D286" i="21"/>
  <c r="D285" i="21"/>
  <c r="G284" i="21"/>
  <c r="F284" i="21"/>
  <c r="E284" i="21"/>
  <c r="D284" i="21"/>
  <c r="D283" i="21"/>
  <c r="G283" i="21" s="1"/>
  <c r="G282" i="21"/>
  <c r="F282" i="21"/>
  <c r="D282" i="21"/>
  <c r="E282" i="21" s="1"/>
  <c r="E281" i="21"/>
  <c r="F281" i="21" s="1"/>
  <c r="D281" i="21"/>
  <c r="G281" i="21" s="1"/>
  <c r="E280" i="21"/>
  <c r="F280" i="21" s="1"/>
  <c r="D280" i="21"/>
  <c r="G280" i="21" s="1"/>
  <c r="E279" i="21"/>
  <c r="F279" i="21" s="1"/>
  <c r="D279" i="21"/>
  <c r="G279" i="21" s="1"/>
  <c r="D278" i="21"/>
  <c r="C277" i="21"/>
  <c r="D276" i="21"/>
  <c r="G275" i="21"/>
  <c r="E275" i="21"/>
  <c r="F275" i="21" s="1"/>
  <c r="D275" i="21"/>
  <c r="F274" i="21"/>
  <c r="E274" i="21"/>
  <c r="G274" i="21" s="1"/>
  <c r="D274" i="21"/>
  <c r="C274" i="21"/>
  <c r="D273" i="21"/>
  <c r="F273" i="21" s="1"/>
  <c r="C273" i="21"/>
  <c r="G272" i="21"/>
  <c r="E272" i="21"/>
  <c r="D272" i="21"/>
  <c r="F272" i="21" s="1"/>
  <c r="C272" i="21"/>
  <c r="G271" i="21"/>
  <c r="F271" i="21"/>
  <c r="E271" i="21"/>
  <c r="D271" i="21"/>
  <c r="C271" i="21"/>
  <c r="D270" i="21"/>
  <c r="F270" i="21" s="1"/>
  <c r="C270" i="21"/>
  <c r="F269" i="21"/>
  <c r="D269" i="21"/>
  <c r="E269" i="21" s="1"/>
  <c r="G269" i="21" s="1"/>
  <c r="C269" i="21"/>
  <c r="D268" i="21"/>
  <c r="C268" i="21"/>
  <c r="D267" i="21"/>
  <c r="F267" i="21" s="1"/>
  <c r="C267" i="21"/>
  <c r="E266" i="21"/>
  <c r="G266" i="21" s="1"/>
  <c r="D266" i="21"/>
  <c r="F266" i="21" s="1"/>
  <c r="C266" i="21"/>
  <c r="D265" i="21"/>
  <c r="F265" i="21" s="1"/>
  <c r="C265" i="21"/>
  <c r="F264" i="21"/>
  <c r="E264" i="21"/>
  <c r="G264" i="21" s="1"/>
  <c r="D264" i="21"/>
  <c r="C264" i="21"/>
  <c r="D263" i="21"/>
  <c r="E262" i="21"/>
  <c r="D262" i="21"/>
  <c r="G262" i="21" s="1"/>
  <c r="G261" i="21"/>
  <c r="D261" i="21"/>
  <c r="D260" i="21"/>
  <c r="G259" i="21"/>
  <c r="F259" i="21"/>
  <c r="E259" i="21"/>
  <c r="D259" i="21"/>
  <c r="G258" i="21"/>
  <c r="F258" i="21"/>
  <c r="E258" i="21"/>
  <c r="D258" i="21"/>
  <c r="G257" i="21"/>
  <c r="D257" i="21"/>
  <c r="E257" i="21" s="1"/>
  <c r="F256" i="21"/>
  <c r="D256" i="21"/>
  <c r="G256" i="21" s="1"/>
  <c r="D255" i="21"/>
  <c r="E255" i="21" s="1"/>
  <c r="G254" i="21"/>
  <c r="F254" i="21"/>
  <c r="D254" i="21"/>
  <c r="E254" i="21" s="1"/>
  <c r="F253" i="21"/>
  <c r="D253" i="21"/>
  <c r="G252" i="21"/>
  <c r="F252" i="21"/>
  <c r="E252" i="21"/>
  <c r="D252" i="21"/>
  <c r="D251" i="21"/>
  <c r="G251" i="21" s="1"/>
  <c r="G250" i="21"/>
  <c r="F250" i="21"/>
  <c r="D250" i="21"/>
  <c r="E250" i="21" s="1"/>
  <c r="F249" i="21"/>
  <c r="E249" i="21"/>
  <c r="D249" i="21"/>
  <c r="G249" i="21" s="1"/>
  <c r="E248" i="21"/>
  <c r="D248" i="21"/>
  <c r="D247" i="21"/>
  <c r="D246" i="21"/>
  <c r="G245" i="21"/>
  <c r="F245" i="21"/>
  <c r="E245" i="21"/>
  <c r="D245" i="21"/>
  <c r="G244" i="21"/>
  <c r="E244" i="21"/>
  <c r="D244" i="21"/>
  <c r="D324" i="21" s="1"/>
  <c r="D242" i="21"/>
  <c r="D241" i="21"/>
  <c r="D240" i="21"/>
  <c r="G240" i="21" s="1"/>
  <c r="G239" i="21"/>
  <c r="E239" i="21"/>
  <c r="F239" i="21" s="1"/>
  <c r="D239" i="21"/>
  <c r="D238" i="21"/>
  <c r="G237" i="21"/>
  <c r="F237" i="21"/>
  <c r="E237" i="21"/>
  <c r="D237" i="21"/>
  <c r="G236" i="21"/>
  <c r="E236" i="21"/>
  <c r="F236" i="21" s="1"/>
  <c r="D236" i="21"/>
  <c r="D235" i="21"/>
  <c r="E235" i="21" s="1"/>
  <c r="F235" i="21" s="1"/>
  <c r="E234" i="21"/>
  <c r="F234" i="21" s="1"/>
  <c r="D234" i="21"/>
  <c r="G234" i="21" s="1"/>
  <c r="D233" i="21"/>
  <c r="F232" i="21"/>
  <c r="E232" i="21"/>
  <c r="D232" i="21"/>
  <c r="G232" i="21" s="1"/>
  <c r="D231" i="21"/>
  <c r="G230" i="21"/>
  <c r="F230" i="21"/>
  <c r="E230" i="21"/>
  <c r="D230" i="21"/>
  <c r="D229" i="21"/>
  <c r="G228" i="21"/>
  <c r="D228" i="21"/>
  <c r="E228" i="21" s="1"/>
  <c r="F228" i="21" s="1"/>
  <c r="D227" i="21"/>
  <c r="G227" i="21" s="1"/>
  <c r="D226" i="21"/>
  <c r="G226" i="21" s="1"/>
  <c r="G225" i="21"/>
  <c r="E225" i="21"/>
  <c r="F225" i="21" s="1"/>
  <c r="D225" i="21"/>
  <c r="D224" i="21"/>
  <c r="G223" i="21"/>
  <c r="F223" i="21"/>
  <c r="E223" i="21"/>
  <c r="D223" i="21"/>
  <c r="G222" i="21"/>
  <c r="D222" i="21"/>
  <c r="E222" i="21" s="1"/>
  <c r="F222" i="21" s="1"/>
  <c r="D221" i="21"/>
  <c r="D220" i="21"/>
  <c r="D219" i="21"/>
  <c r="G219" i="21" s="1"/>
  <c r="G218" i="21"/>
  <c r="E218" i="21"/>
  <c r="F218" i="21" s="1"/>
  <c r="D218" i="21"/>
  <c r="D217" i="21"/>
  <c r="G216" i="21"/>
  <c r="F216" i="21"/>
  <c r="E216" i="21"/>
  <c r="D216" i="21"/>
  <c r="D215" i="21"/>
  <c r="G215" i="21" s="1"/>
  <c r="D214" i="21"/>
  <c r="E214" i="21" s="1"/>
  <c r="F214" i="21" s="1"/>
  <c r="D213" i="21"/>
  <c r="G213" i="21" s="1"/>
  <c r="G242" i="21" s="1"/>
  <c r="D210" i="21"/>
  <c r="E210" i="21" s="1"/>
  <c r="F210" i="21" s="1"/>
  <c r="D209" i="21"/>
  <c r="G208" i="21"/>
  <c r="F208" i="21"/>
  <c r="E208" i="21"/>
  <c r="D208" i="21"/>
  <c r="G207" i="21"/>
  <c r="E207" i="21"/>
  <c r="F207" i="21" s="1"/>
  <c r="D207" i="21"/>
  <c r="G206" i="21"/>
  <c r="D206" i="21"/>
  <c r="E206" i="21" s="1"/>
  <c r="F206" i="21" s="1"/>
  <c r="D205" i="21"/>
  <c r="G205" i="21" s="1"/>
  <c r="E204" i="21"/>
  <c r="F204" i="21" s="1"/>
  <c r="D204" i="21"/>
  <c r="G204" i="21" s="1"/>
  <c r="G203" i="21"/>
  <c r="D203" i="21"/>
  <c r="E203" i="21" s="1"/>
  <c r="F203" i="21" s="1"/>
  <c r="D202" i="21"/>
  <c r="G201" i="21"/>
  <c r="F201" i="21"/>
  <c r="E201" i="21"/>
  <c r="D201" i="21"/>
  <c r="D200" i="21"/>
  <c r="G200" i="21" s="1"/>
  <c r="G199" i="21"/>
  <c r="F199" i="21"/>
  <c r="D199" i="21"/>
  <c r="E199" i="21" s="1"/>
  <c r="E198" i="21"/>
  <c r="F198" i="21" s="1"/>
  <c r="D198" i="21"/>
  <c r="G198" i="21" s="1"/>
  <c r="E197" i="21"/>
  <c r="F197" i="21" s="1"/>
  <c r="D197" i="21"/>
  <c r="G197" i="21" s="1"/>
  <c r="D196" i="21"/>
  <c r="G196" i="21" s="1"/>
  <c r="D195" i="21"/>
  <c r="G194" i="21"/>
  <c r="F194" i="21"/>
  <c r="E194" i="21"/>
  <c r="D194" i="21"/>
  <c r="G193" i="21"/>
  <c r="E193" i="21"/>
  <c r="F193" i="21" s="1"/>
  <c r="D193" i="21"/>
  <c r="D192" i="21"/>
  <c r="D191" i="21"/>
  <c r="G191" i="21" s="1"/>
  <c r="D190" i="21"/>
  <c r="G189" i="21"/>
  <c r="E189" i="21"/>
  <c r="F189" i="21" s="1"/>
  <c r="D189" i="21"/>
  <c r="D188" i="21"/>
  <c r="G187" i="21"/>
  <c r="F187" i="21"/>
  <c r="E187" i="21"/>
  <c r="D187" i="21"/>
  <c r="E186" i="21"/>
  <c r="F186" i="21" s="1"/>
  <c r="D186" i="21"/>
  <c r="G186" i="21" s="1"/>
  <c r="D185" i="21"/>
  <c r="E185" i="21" s="1"/>
  <c r="F185" i="21" s="1"/>
  <c r="E184" i="21"/>
  <c r="F184" i="21" s="1"/>
  <c r="D184" i="21"/>
  <c r="G184" i="21" s="1"/>
  <c r="D183" i="21"/>
  <c r="G182" i="21"/>
  <c r="E182" i="21"/>
  <c r="F182" i="21" s="1"/>
  <c r="D182" i="21"/>
  <c r="D181" i="21"/>
  <c r="G180" i="21"/>
  <c r="F180" i="21"/>
  <c r="E180" i="21"/>
  <c r="D180" i="21"/>
  <c r="G179" i="21"/>
  <c r="D179" i="21"/>
  <c r="E179" i="21" s="1"/>
  <c r="F179" i="21" s="1"/>
  <c r="D178" i="21"/>
  <c r="D177" i="21"/>
  <c r="G177" i="21" s="1"/>
  <c r="D176" i="21"/>
  <c r="G176" i="21" s="1"/>
  <c r="G175" i="21"/>
  <c r="E175" i="21"/>
  <c r="F175" i="21" s="1"/>
  <c r="D175" i="21"/>
  <c r="D174" i="21"/>
  <c r="G173" i="21"/>
  <c r="F173" i="21"/>
  <c r="E173" i="21"/>
  <c r="D173" i="21"/>
  <c r="G172" i="21"/>
  <c r="D172" i="21"/>
  <c r="E172" i="21" s="1"/>
  <c r="F172" i="21" s="1"/>
  <c r="D171" i="21"/>
  <c r="D170" i="21"/>
  <c r="E169" i="21"/>
  <c r="F169" i="21" s="1"/>
  <c r="D169" i="21"/>
  <c r="G169" i="21" s="1"/>
  <c r="E168" i="21"/>
  <c r="F168" i="21" s="1"/>
  <c r="D168" i="21"/>
  <c r="G168" i="21" s="1"/>
  <c r="D167" i="21"/>
  <c r="G166" i="21"/>
  <c r="F166" i="21"/>
  <c r="E166" i="21"/>
  <c r="D166" i="21"/>
  <c r="D165" i="21"/>
  <c r="G164" i="21"/>
  <c r="F164" i="21"/>
  <c r="D164" i="21"/>
  <c r="E164" i="21" s="1"/>
  <c r="D163" i="21"/>
  <c r="G163" i="21" s="1"/>
  <c r="E162" i="21"/>
  <c r="F162" i="21" s="1"/>
  <c r="D162" i="21"/>
  <c r="G162" i="21" s="1"/>
  <c r="D161" i="21"/>
  <c r="E161" i="21" s="1"/>
  <c r="F161" i="21" s="1"/>
  <c r="D160" i="21"/>
  <c r="G159" i="21"/>
  <c r="F159" i="21"/>
  <c r="E159" i="21"/>
  <c r="D159" i="21"/>
  <c r="G158" i="21"/>
  <c r="E158" i="21"/>
  <c r="F158" i="21" s="1"/>
  <c r="D158" i="21"/>
  <c r="G157" i="21"/>
  <c r="D157" i="21"/>
  <c r="E157" i="21" s="1"/>
  <c r="F157" i="21" s="1"/>
  <c r="D156" i="21"/>
  <c r="G156" i="21" s="1"/>
  <c r="D155" i="21"/>
  <c r="G155" i="21" s="1"/>
  <c r="G154" i="21"/>
  <c r="D154" i="21"/>
  <c r="E154" i="21" s="1"/>
  <c r="F154" i="21" s="1"/>
  <c r="D153" i="21"/>
  <c r="G152" i="21"/>
  <c r="F152" i="21"/>
  <c r="E152" i="21"/>
  <c r="D152" i="21"/>
  <c r="D151" i="21"/>
  <c r="G151" i="21" s="1"/>
  <c r="G150" i="21"/>
  <c r="F150" i="21"/>
  <c r="D150" i="21"/>
  <c r="E150" i="21" s="1"/>
  <c r="E149" i="21"/>
  <c r="F149" i="21" s="1"/>
  <c r="D149" i="21"/>
  <c r="G149" i="21" s="1"/>
  <c r="E148" i="21"/>
  <c r="F148" i="21" s="1"/>
  <c r="D148" i="21"/>
  <c r="G148" i="21" s="1"/>
  <c r="D147" i="21"/>
  <c r="G147" i="21" s="1"/>
  <c r="D146" i="21"/>
  <c r="G145" i="21"/>
  <c r="F145" i="21"/>
  <c r="E145" i="21"/>
  <c r="D145" i="21"/>
  <c r="G144" i="21"/>
  <c r="E144" i="21"/>
  <c r="F144" i="21" s="1"/>
  <c r="D144" i="21"/>
  <c r="D143" i="21"/>
  <c r="D142" i="21"/>
  <c r="G142" i="21" s="1"/>
  <c r="D141" i="21"/>
  <c r="G140" i="21"/>
  <c r="E140" i="21"/>
  <c r="F140" i="21" s="1"/>
  <c r="D140" i="21"/>
  <c r="D139" i="21"/>
  <c r="G138" i="21"/>
  <c r="F138" i="21"/>
  <c r="E138" i="21"/>
  <c r="D138" i="21"/>
  <c r="E137" i="21"/>
  <c r="F137" i="21" s="1"/>
  <c r="D137" i="21"/>
  <c r="G137" i="21" s="1"/>
  <c r="D136" i="21"/>
  <c r="E136" i="21" s="1"/>
  <c r="F136" i="21" s="1"/>
  <c r="E135" i="21"/>
  <c r="F135" i="21" s="1"/>
  <c r="D135" i="21"/>
  <c r="G135" i="21" s="1"/>
  <c r="D134" i="21"/>
  <c r="E133" i="21"/>
  <c r="F133" i="21" s="1"/>
  <c r="D133" i="21"/>
  <c r="G133" i="21" s="1"/>
  <c r="D132" i="21"/>
  <c r="G131" i="21"/>
  <c r="F131" i="21"/>
  <c r="E131" i="21"/>
  <c r="D131" i="21"/>
  <c r="G130" i="21"/>
  <c r="D130" i="21"/>
  <c r="E130" i="21" s="1"/>
  <c r="F130" i="21" s="1"/>
  <c r="D129" i="21"/>
  <c r="D128" i="21"/>
  <c r="D127" i="21"/>
  <c r="G127" i="21" s="1"/>
  <c r="G126" i="21"/>
  <c r="E126" i="21"/>
  <c r="F126" i="21" s="1"/>
  <c r="D126" i="21"/>
  <c r="D125" i="21"/>
  <c r="G124" i="21"/>
  <c r="F124" i="21"/>
  <c r="E124" i="21"/>
  <c r="D124" i="21"/>
  <c r="G123" i="21"/>
  <c r="D123" i="21"/>
  <c r="E123" i="21" s="1"/>
  <c r="F123" i="21" s="1"/>
  <c r="D122" i="21"/>
  <c r="D121" i="21"/>
  <c r="D120" i="21"/>
  <c r="G120" i="21" s="1"/>
  <c r="E119" i="21"/>
  <c r="F119" i="21" s="1"/>
  <c r="D119" i="21"/>
  <c r="G119" i="21" s="1"/>
  <c r="D118" i="21"/>
  <c r="G117" i="21"/>
  <c r="D117" i="21"/>
  <c r="E117" i="21" s="1"/>
  <c r="F117" i="21" s="1"/>
  <c r="E116" i="21"/>
  <c r="F116" i="21" s="1"/>
  <c r="D116" i="21"/>
  <c r="G116" i="21" s="1"/>
  <c r="D115" i="21"/>
  <c r="E115" i="21" s="1"/>
  <c r="F115" i="21" s="1"/>
  <c r="E114" i="21"/>
  <c r="F114" i="21" s="1"/>
  <c r="D114" i="21"/>
  <c r="G114" i="21" s="1"/>
  <c r="D113" i="21"/>
  <c r="G113" i="21" s="1"/>
  <c r="D112" i="21"/>
  <c r="G112" i="21" s="1"/>
  <c r="D111" i="21"/>
  <c r="G110" i="21"/>
  <c r="D110" i="21"/>
  <c r="E110" i="21" s="1"/>
  <c r="F110" i="21" s="1"/>
  <c r="G109" i="21"/>
  <c r="D109" i="21"/>
  <c r="E109" i="21" s="1"/>
  <c r="F109" i="21" s="1"/>
  <c r="D108" i="21"/>
  <c r="D107" i="21"/>
  <c r="D106" i="21"/>
  <c r="G106" i="21" s="1"/>
  <c r="G105" i="21"/>
  <c r="E105" i="21"/>
  <c r="F105" i="21" s="1"/>
  <c r="D105" i="21"/>
  <c r="D104" i="21"/>
  <c r="G103" i="21"/>
  <c r="D103" i="21"/>
  <c r="E103" i="21" s="1"/>
  <c r="F103" i="21" s="1"/>
  <c r="D102" i="21"/>
  <c r="G102" i="21" s="1"/>
  <c r="D101" i="21"/>
  <c r="E101" i="21" s="1"/>
  <c r="F101" i="21" s="1"/>
  <c r="E100" i="21"/>
  <c r="F100" i="21" s="1"/>
  <c r="D100" i="21"/>
  <c r="G100" i="21" s="1"/>
  <c r="D99" i="21"/>
  <c r="G99" i="21" s="1"/>
  <c r="D98" i="21"/>
  <c r="G98" i="21" s="1"/>
  <c r="D97" i="21"/>
  <c r="G96" i="21"/>
  <c r="D96" i="21"/>
  <c r="E96" i="21" s="1"/>
  <c r="F96" i="21" s="1"/>
  <c r="G95" i="21"/>
  <c r="F95" i="21"/>
  <c r="D95" i="21"/>
  <c r="E95" i="21" s="1"/>
  <c r="D94" i="21"/>
  <c r="D93" i="21"/>
  <c r="E92" i="21"/>
  <c r="F92" i="21" s="1"/>
  <c r="D92" i="21"/>
  <c r="G92" i="21" s="1"/>
  <c r="G91" i="21"/>
  <c r="D91" i="21"/>
  <c r="E91" i="21" s="1"/>
  <c r="F91" i="21" s="1"/>
  <c r="D90" i="21"/>
  <c r="G89" i="21"/>
  <c r="D89" i="21"/>
  <c r="E89" i="21" s="1"/>
  <c r="F89" i="21" s="1"/>
  <c r="D88" i="21"/>
  <c r="G88" i="21" s="1"/>
  <c r="G87" i="21"/>
  <c r="D87" i="21"/>
  <c r="E87" i="21" s="1"/>
  <c r="F87" i="21" s="1"/>
  <c r="F86" i="21"/>
  <c r="E86" i="21"/>
  <c r="D86" i="21"/>
  <c r="G86" i="21" s="1"/>
  <c r="D85" i="21"/>
  <c r="G85" i="21" s="1"/>
  <c r="D84" i="21"/>
  <c r="G84" i="21" s="1"/>
  <c r="D83" i="21"/>
  <c r="G82" i="21"/>
  <c r="F82" i="21"/>
  <c r="D82" i="21"/>
  <c r="E82" i="21" s="1"/>
  <c r="G81" i="21"/>
  <c r="F81" i="21"/>
  <c r="E81" i="21"/>
  <c r="D81" i="21"/>
  <c r="D80" i="21"/>
  <c r="D79" i="21"/>
  <c r="D78" i="21"/>
  <c r="G78" i="21" s="1"/>
  <c r="D77" i="21"/>
  <c r="G77" i="21" s="1"/>
  <c r="D76" i="21"/>
  <c r="G75" i="21"/>
  <c r="D75" i="21"/>
  <c r="E75" i="21" s="1"/>
  <c r="F75" i="21" s="1"/>
  <c r="D74" i="21"/>
  <c r="G74" i="21" s="1"/>
  <c r="D73" i="21"/>
  <c r="E72" i="21"/>
  <c r="F72" i="21" s="1"/>
  <c r="D72" i="21"/>
  <c r="G72" i="21" s="1"/>
  <c r="D71" i="21"/>
  <c r="G71" i="21" s="1"/>
  <c r="D70" i="21"/>
  <c r="G70" i="21" s="1"/>
  <c r="D69" i="21"/>
  <c r="G68" i="21"/>
  <c r="D68" i="21"/>
  <c r="E68" i="21" s="1"/>
  <c r="F68" i="21" s="1"/>
  <c r="G67" i="21"/>
  <c r="F67" i="21"/>
  <c r="E67" i="21"/>
  <c r="D67" i="21"/>
  <c r="G66" i="21"/>
  <c r="E66" i="21"/>
  <c r="F66" i="21" s="1"/>
  <c r="D66" i="21"/>
  <c r="E65" i="21"/>
  <c r="F65" i="21" s="1"/>
  <c r="D65" i="21"/>
  <c r="G65" i="21" s="1"/>
  <c r="G64" i="21"/>
  <c r="E64" i="21"/>
  <c r="F64" i="21" s="1"/>
  <c r="D64" i="21"/>
  <c r="G63" i="21"/>
  <c r="D63" i="21"/>
  <c r="E63" i="21" s="1"/>
  <c r="F63" i="21" s="1"/>
  <c r="D62" i="21"/>
  <c r="G62" i="21" s="1"/>
  <c r="D61" i="21"/>
  <c r="G61" i="21" s="1"/>
  <c r="G60" i="21"/>
  <c r="E60" i="21"/>
  <c r="F60" i="21" s="1"/>
  <c r="D60" i="21"/>
  <c r="D59" i="21"/>
  <c r="D58" i="21"/>
  <c r="G58" i="21" s="1"/>
  <c r="G57" i="21"/>
  <c r="E57" i="21"/>
  <c r="F57" i="21" s="1"/>
  <c r="D57" i="21"/>
  <c r="G56" i="21"/>
  <c r="D56" i="21"/>
  <c r="E56" i="21" s="1"/>
  <c r="F56" i="21" s="1"/>
  <c r="D55" i="21"/>
  <c r="G55" i="21" s="1"/>
  <c r="D54" i="21"/>
  <c r="G54" i="21" s="1"/>
  <c r="G53" i="21"/>
  <c r="E53" i="21"/>
  <c r="F53" i="21" s="1"/>
  <c r="D53" i="21"/>
  <c r="D52" i="21"/>
  <c r="D51" i="21"/>
  <c r="G51" i="21" s="1"/>
  <c r="G50" i="21"/>
  <c r="E50" i="21"/>
  <c r="F50" i="21" s="1"/>
  <c r="D50" i="21"/>
  <c r="G49" i="21"/>
  <c r="D49" i="21"/>
  <c r="E49" i="21" s="1"/>
  <c r="F49" i="21" s="1"/>
  <c r="D48" i="21"/>
  <c r="G48" i="21" s="1"/>
  <c r="D47" i="21"/>
  <c r="G46" i="21"/>
  <c r="E46" i="21"/>
  <c r="F46" i="21" s="1"/>
  <c r="D46" i="21"/>
  <c r="D45" i="21"/>
  <c r="D44" i="21"/>
  <c r="G43" i="21"/>
  <c r="F43" i="21"/>
  <c r="D43" i="21"/>
  <c r="E43" i="21" s="1"/>
  <c r="G42" i="21"/>
  <c r="D42" i="21"/>
  <c r="E42" i="21" s="1"/>
  <c r="F42" i="21" s="1"/>
  <c r="D41" i="21"/>
  <c r="G41" i="21" s="1"/>
  <c r="F40" i="21"/>
  <c r="E40" i="21"/>
  <c r="D40" i="21"/>
  <c r="G40" i="21" s="1"/>
  <c r="G39" i="21"/>
  <c r="E39" i="21"/>
  <c r="F39" i="21" s="1"/>
  <c r="D39" i="21"/>
  <c r="D38" i="21"/>
  <c r="D37" i="21"/>
  <c r="G37" i="21" s="1"/>
  <c r="D36" i="21"/>
  <c r="G36" i="21" s="1"/>
  <c r="G35" i="21"/>
  <c r="D35" i="21"/>
  <c r="E35" i="21" s="1"/>
  <c r="F35" i="21" s="1"/>
  <c r="D34" i="21"/>
  <c r="G34" i="21" s="1"/>
  <c r="G33" i="21"/>
  <c r="E33" i="21"/>
  <c r="F33" i="21" s="1"/>
  <c r="D33" i="21"/>
  <c r="G32" i="21"/>
  <c r="F32" i="21"/>
  <c r="E32" i="21"/>
  <c r="D32" i="21"/>
  <c r="D31" i="21"/>
  <c r="D30" i="21"/>
  <c r="F29" i="21"/>
  <c r="D29" i="21"/>
  <c r="G29" i="21" s="1"/>
  <c r="G28" i="21"/>
  <c r="F28" i="21"/>
  <c r="D28" i="21"/>
  <c r="G27" i="21"/>
  <c r="F27" i="21"/>
  <c r="D27" i="21"/>
  <c r="G26" i="21"/>
  <c r="F26" i="21"/>
  <c r="D26" i="21"/>
  <c r="F25" i="21"/>
  <c r="D25" i="21"/>
  <c r="G25" i="21" s="1"/>
  <c r="F24" i="21"/>
  <c r="D24" i="21"/>
  <c r="G24" i="21" s="1"/>
  <c r="G23" i="21"/>
  <c r="F23" i="21"/>
  <c r="D23" i="21"/>
  <c r="F22" i="21"/>
  <c r="D22" i="21"/>
  <c r="G22" i="21" s="1"/>
  <c r="F21" i="21"/>
  <c r="D21" i="21"/>
  <c r="F20" i="21"/>
  <c r="D20" i="21"/>
  <c r="G20" i="21" s="1"/>
  <c r="G19" i="21"/>
  <c r="F19" i="21"/>
  <c r="D19" i="21"/>
  <c r="F18" i="21"/>
  <c r="D18" i="21"/>
  <c r="G18" i="21" s="1"/>
  <c r="F17" i="21"/>
  <c r="D17" i="21"/>
  <c r="G17" i="21" s="1"/>
  <c r="F16" i="21"/>
  <c r="D16" i="21"/>
  <c r="G16" i="21" s="1"/>
  <c r="G15" i="21"/>
  <c r="F15" i="21"/>
  <c r="D15" i="21"/>
  <c r="G14" i="21"/>
  <c r="F14" i="21"/>
  <c r="D14" i="21"/>
  <c r="G13" i="21"/>
  <c r="F13" i="21"/>
  <c r="D13" i="21"/>
  <c r="G12" i="21"/>
  <c r="F12" i="21"/>
  <c r="D12" i="21"/>
  <c r="F11" i="21"/>
  <c r="D11" i="21"/>
  <c r="G11" i="21" s="1"/>
  <c r="G10" i="21"/>
  <c r="F10" i="21"/>
  <c r="D10" i="21"/>
  <c r="G9" i="21"/>
  <c r="F9" i="21"/>
  <c r="D9" i="21"/>
  <c r="F8" i="21"/>
  <c r="D8" i="21"/>
  <c r="G8" i="21" s="1"/>
  <c r="E33" i="17"/>
  <c r="F32" i="17"/>
  <c r="E18" i="17"/>
  <c r="F18" i="17" s="1"/>
  <c r="E17" i="17"/>
  <c r="F17" i="17" s="1"/>
  <c r="E11" i="17"/>
  <c r="F11" i="17" s="1"/>
  <c r="F8" i="17"/>
  <c r="E8" i="17"/>
  <c r="P6" i="17"/>
  <c r="D343" i="20"/>
  <c r="D342" i="20"/>
  <c r="E337" i="20"/>
  <c r="D331" i="20"/>
  <c r="D337" i="20" s="1"/>
  <c r="G330" i="20"/>
  <c r="D330" i="20"/>
  <c r="E330" i="20" s="1"/>
  <c r="F330" i="20" s="1"/>
  <c r="G329" i="20"/>
  <c r="E329" i="20"/>
  <c r="F329" i="20" s="1"/>
  <c r="D329" i="20"/>
  <c r="D328" i="20"/>
  <c r="G328" i="20" s="1"/>
  <c r="G327" i="20"/>
  <c r="E327" i="20"/>
  <c r="D327" i="20"/>
  <c r="G326" i="20"/>
  <c r="E326" i="20"/>
  <c r="F326" i="20" s="1"/>
  <c r="D326" i="20"/>
  <c r="G323" i="20"/>
  <c r="E323" i="20"/>
  <c r="F323" i="20" s="1"/>
  <c r="D323" i="20"/>
  <c r="G322" i="20"/>
  <c r="F322" i="20"/>
  <c r="D322" i="20"/>
  <c r="E322" i="20" s="1"/>
  <c r="G321" i="20"/>
  <c r="E321" i="20"/>
  <c r="F321" i="20" s="1"/>
  <c r="D321" i="20"/>
  <c r="D320" i="20"/>
  <c r="G320" i="20" s="1"/>
  <c r="D319" i="20"/>
  <c r="G319" i="20" s="1"/>
  <c r="G318" i="20"/>
  <c r="E318" i="20"/>
  <c r="F318" i="20" s="1"/>
  <c r="D318" i="20"/>
  <c r="D317" i="20"/>
  <c r="D316" i="20"/>
  <c r="G316" i="20" s="1"/>
  <c r="G315" i="20"/>
  <c r="F315" i="20"/>
  <c r="E315" i="20"/>
  <c r="D315" i="20"/>
  <c r="G314" i="20"/>
  <c r="E314" i="20"/>
  <c r="F314" i="20" s="1"/>
  <c r="D314" i="20"/>
  <c r="D313" i="20"/>
  <c r="E312" i="20"/>
  <c r="F312" i="20" s="1"/>
  <c r="D312" i="20"/>
  <c r="G312" i="20" s="1"/>
  <c r="G311" i="20"/>
  <c r="E311" i="20"/>
  <c r="F311" i="20" s="1"/>
  <c r="D311" i="20"/>
  <c r="D310" i="20"/>
  <c r="D309" i="20"/>
  <c r="G309" i="20" s="1"/>
  <c r="G308" i="20"/>
  <c r="E308" i="20"/>
  <c r="F308" i="20" s="1"/>
  <c r="D308" i="20"/>
  <c r="G307" i="20"/>
  <c r="E307" i="20"/>
  <c r="F307" i="20" s="1"/>
  <c r="D307" i="20"/>
  <c r="G306" i="20"/>
  <c r="E306" i="20"/>
  <c r="F306" i="20" s="1"/>
  <c r="G305" i="20"/>
  <c r="E305" i="20"/>
  <c r="F305" i="20" s="1"/>
  <c r="G304" i="20"/>
  <c r="E304" i="20"/>
  <c r="F304" i="20" s="1"/>
  <c r="G303" i="20"/>
  <c r="E303" i="20"/>
  <c r="F303" i="20" s="1"/>
  <c r="G302" i="20"/>
  <c r="E302" i="20"/>
  <c r="F302" i="20" s="1"/>
  <c r="G301" i="20"/>
  <c r="E301" i="20"/>
  <c r="F301" i="20" s="1"/>
  <c r="G299" i="20"/>
  <c r="E299" i="20"/>
  <c r="F299" i="20" s="1"/>
  <c r="G298" i="20"/>
  <c r="E298" i="20"/>
  <c r="F298" i="20" s="1"/>
  <c r="G297" i="20"/>
  <c r="E297" i="20"/>
  <c r="F297" i="20" s="1"/>
  <c r="G296" i="20"/>
  <c r="E296" i="20"/>
  <c r="F296" i="20" s="1"/>
  <c r="G295" i="20"/>
  <c r="F295" i="20"/>
  <c r="E295" i="20"/>
  <c r="G294" i="20"/>
  <c r="E294" i="20"/>
  <c r="F294" i="20" s="1"/>
  <c r="D294" i="20"/>
  <c r="C294" i="20"/>
  <c r="G293" i="20"/>
  <c r="E293" i="20"/>
  <c r="F293" i="20" s="1"/>
  <c r="D292" i="20"/>
  <c r="E292" i="20" s="1"/>
  <c r="F292" i="20" s="1"/>
  <c r="G291" i="20"/>
  <c r="D291" i="20"/>
  <c r="E291" i="20" s="1"/>
  <c r="F291" i="20" s="1"/>
  <c r="G290" i="20"/>
  <c r="E290" i="20"/>
  <c r="F290" i="20" s="1"/>
  <c r="D290" i="20"/>
  <c r="D289" i="20"/>
  <c r="G289" i="20" s="1"/>
  <c r="D288" i="20"/>
  <c r="G288" i="20" s="1"/>
  <c r="G287" i="20"/>
  <c r="E287" i="20"/>
  <c r="F287" i="20" s="1"/>
  <c r="D287" i="20"/>
  <c r="D286" i="20"/>
  <c r="E286" i="20" s="1"/>
  <c r="F286" i="20" s="1"/>
  <c r="G285" i="20"/>
  <c r="D285" i="20"/>
  <c r="E285" i="20" s="1"/>
  <c r="F285" i="20" s="1"/>
  <c r="G284" i="20"/>
  <c r="F284" i="20"/>
  <c r="E284" i="20"/>
  <c r="D284" i="20"/>
  <c r="G283" i="20"/>
  <c r="E283" i="20"/>
  <c r="F283" i="20" s="1"/>
  <c r="D283" i="20"/>
  <c r="D282" i="20"/>
  <c r="G282" i="20" s="1"/>
  <c r="G281" i="20"/>
  <c r="D281" i="20"/>
  <c r="E281" i="20" s="1"/>
  <c r="F281" i="20" s="1"/>
  <c r="G280" i="20"/>
  <c r="E280" i="20"/>
  <c r="F280" i="20" s="1"/>
  <c r="D280" i="20"/>
  <c r="D279" i="20"/>
  <c r="E279" i="20" s="1"/>
  <c r="F279" i="20" s="1"/>
  <c r="D278" i="20"/>
  <c r="C277" i="20"/>
  <c r="D276" i="20"/>
  <c r="G276" i="20" s="1"/>
  <c r="G275" i="20"/>
  <c r="E275" i="20"/>
  <c r="F275" i="20" s="1"/>
  <c r="D275" i="20"/>
  <c r="F274" i="20"/>
  <c r="E274" i="20"/>
  <c r="G274" i="20" s="1"/>
  <c r="D274" i="20"/>
  <c r="C274" i="20"/>
  <c r="E273" i="20"/>
  <c r="G273" i="20" s="1"/>
  <c r="D273" i="20"/>
  <c r="F273" i="20" s="1"/>
  <c r="C273" i="20"/>
  <c r="E272" i="20"/>
  <c r="G272" i="20" s="1"/>
  <c r="D272" i="20"/>
  <c r="F272" i="20" s="1"/>
  <c r="C272" i="20"/>
  <c r="G271" i="20"/>
  <c r="F271" i="20"/>
  <c r="E271" i="20"/>
  <c r="D271" i="20"/>
  <c r="C271" i="20"/>
  <c r="F270" i="20"/>
  <c r="D270" i="20"/>
  <c r="E270" i="20" s="1"/>
  <c r="G270" i="20" s="1"/>
  <c r="C270" i="20"/>
  <c r="D269" i="20"/>
  <c r="F269" i="20" s="1"/>
  <c r="C269" i="20"/>
  <c r="D268" i="20"/>
  <c r="F268" i="20" s="1"/>
  <c r="C268" i="20"/>
  <c r="D267" i="20"/>
  <c r="C267" i="20"/>
  <c r="E266" i="20"/>
  <c r="G266" i="20" s="1"/>
  <c r="D266" i="20"/>
  <c r="F266" i="20" s="1"/>
  <c r="C266" i="20"/>
  <c r="F265" i="20"/>
  <c r="E265" i="20"/>
  <c r="G265" i="20" s="1"/>
  <c r="D265" i="20"/>
  <c r="C265" i="20"/>
  <c r="D264" i="20"/>
  <c r="F264" i="20" s="1"/>
  <c r="C264" i="20"/>
  <c r="G263" i="20"/>
  <c r="D263" i="20"/>
  <c r="G262" i="20"/>
  <c r="E262" i="20"/>
  <c r="F262" i="20" s="1"/>
  <c r="D262" i="20"/>
  <c r="D261" i="20"/>
  <c r="F260" i="20"/>
  <c r="D260" i="20"/>
  <c r="G260" i="20" s="1"/>
  <c r="G259" i="20"/>
  <c r="F259" i="20"/>
  <c r="E259" i="20"/>
  <c r="D259" i="20"/>
  <c r="G258" i="20"/>
  <c r="E258" i="20"/>
  <c r="D258" i="20"/>
  <c r="F258" i="20" s="1"/>
  <c r="D257" i="20"/>
  <c r="G257" i="20" s="1"/>
  <c r="F256" i="20"/>
  <c r="D256" i="20"/>
  <c r="G256" i="20" s="1"/>
  <c r="G255" i="20"/>
  <c r="F255" i="20"/>
  <c r="E255" i="20"/>
  <c r="D255" i="20"/>
  <c r="D254" i="20"/>
  <c r="G253" i="20"/>
  <c r="D253" i="20"/>
  <c r="F253" i="20" s="1"/>
  <c r="G252" i="20"/>
  <c r="F252" i="20"/>
  <c r="E252" i="20"/>
  <c r="D252" i="20"/>
  <c r="G251" i="20"/>
  <c r="E251" i="20"/>
  <c r="D251" i="20"/>
  <c r="F251" i="20" s="1"/>
  <c r="D250" i="20"/>
  <c r="G250" i="20" s="1"/>
  <c r="G249" i="20"/>
  <c r="D249" i="20"/>
  <c r="F249" i="20" s="1"/>
  <c r="G248" i="20"/>
  <c r="F248" i="20"/>
  <c r="E248" i="20"/>
  <c r="D248" i="20"/>
  <c r="D247" i="20"/>
  <c r="F246" i="20"/>
  <c r="E246" i="20"/>
  <c r="D246" i="20"/>
  <c r="G246" i="20" s="1"/>
  <c r="G245" i="20"/>
  <c r="F245" i="20"/>
  <c r="D245" i="20"/>
  <c r="E245" i="20" s="1"/>
  <c r="G244" i="20"/>
  <c r="E244" i="20"/>
  <c r="D244" i="20"/>
  <c r="E241" i="20"/>
  <c r="F241" i="20" s="1"/>
  <c r="D241" i="20"/>
  <c r="G241" i="20" s="1"/>
  <c r="G240" i="20"/>
  <c r="E240" i="20"/>
  <c r="F240" i="20" s="1"/>
  <c r="D240" i="20"/>
  <c r="D239" i="20"/>
  <c r="E239" i="20" s="1"/>
  <c r="F239" i="20" s="1"/>
  <c r="D238" i="20"/>
  <c r="G238" i="20" s="1"/>
  <c r="G237" i="20"/>
  <c r="D237" i="20"/>
  <c r="E237" i="20" s="1"/>
  <c r="F237" i="20" s="1"/>
  <c r="G236" i="20"/>
  <c r="E236" i="20"/>
  <c r="F236" i="20" s="1"/>
  <c r="D236" i="20"/>
  <c r="D235" i="20"/>
  <c r="G235" i="20" s="1"/>
  <c r="G234" i="20"/>
  <c r="E234" i="20"/>
  <c r="F234" i="20" s="1"/>
  <c r="D234" i="20"/>
  <c r="G233" i="20"/>
  <c r="E233" i="20"/>
  <c r="F233" i="20" s="1"/>
  <c r="D233" i="20"/>
  <c r="D232" i="20"/>
  <c r="E232" i="20" s="1"/>
  <c r="F232" i="20" s="1"/>
  <c r="G231" i="20"/>
  <c r="F231" i="20"/>
  <c r="E231" i="20"/>
  <c r="D231" i="20"/>
  <c r="G230" i="20"/>
  <c r="F230" i="20"/>
  <c r="E230" i="20"/>
  <c r="D230" i="20"/>
  <c r="G229" i="20"/>
  <c r="E229" i="20"/>
  <c r="F229" i="20" s="1"/>
  <c r="D229" i="20"/>
  <c r="E228" i="20"/>
  <c r="F228" i="20" s="1"/>
  <c r="D228" i="20"/>
  <c r="G228" i="20" s="1"/>
  <c r="G227" i="20"/>
  <c r="F227" i="20"/>
  <c r="E227" i="20"/>
  <c r="D227" i="20"/>
  <c r="G226" i="20"/>
  <c r="E226" i="20"/>
  <c r="F226" i="20" s="1"/>
  <c r="D226" i="20"/>
  <c r="G225" i="20"/>
  <c r="D225" i="20"/>
  <c r="E225" i="20" s="1"/>
  <c r="F225" i="20" s="1"/>
  <c r="D224" i="20"/>
  <c r="G224" i="20" s="1"/>
  <c r="G223" i="20"/>
  <c r="F223" i="20"/>
  <c r="E223" i="20"/>
  <c r="D223" i="20"/>
  <c r="G222" i="20"/>
  <c r="E222" i="20"/>
  <c r="F222" i="20" s="1"/>
  <c r="D222" i="20"/>
  <c r="E221" i="20"/>
  <c r="F221" i="20" s="1"/>
  <c r="D221" i="20"/>
  <c r="G221" i="20" s="1"/>
  <c r="D220" i="20"/>
  <c r="G220" i="20" s="1"/>
  <c r="G219" i="20"/>
  <c r="E219" i="20"/>
  <c r="F219" i="20" s="1"/>
  <c r="D219" i="20"/>
  <c r="G218" i="20"/>
  <c r="D218" i="20"/>
  <c r="E218" i="20" s="1"/>
  <c r="F218" i="20" s="1"/>
  <c r="D217" i="20"/>
  <c r="G216" i="20"/>
  <c r="F216" i="20"/>
  <c r="E216" i="20"/>
  <c r="D216" i="20"/>
  <c r="G215" i="20"/>
  <c r="E215" i="20"/>
  <c r="F215" i="20" s="1"/>
  <c r="D215" i="20"/>
  <c r="E214" i="20"/>
  <c r="F214" i="20" s="1"/>
  <c r="D214" i="20"/>
  <c r="G214" i="20" s="1"/>
  <c r="D213" i="20"/>
  <c r="D210" i="20"/>
  <c r="E210" i="20" s="1"/>
  <c r="F210" i="20" s="1"/>
  <c r="G209" i="20"/>
  <c r="F209" i="20"/>
  <c r="D209" i="20"/>
  <c r="E209" i="20" s="1"/>
  <c r="G208" i="20"/>
  <c r="F208" i="20"/>
  <c r="E208" i="20"/>
  <c r="D208" i="20"/>
  <c r="G207" i="20"/>
  <c r="E207" i="20"/>
  <c r="F207" i="20" s="1"/>
  <c r="D207" i="20"/>
  <c r="D206" i="20"/>
  <c r="G206" i="20" s="1"/>
  <c r="G205" i="20"/>
  <c r="E205" i="20"/>
  <c r="F205" i="20" s="1"/>
  <c r="D205" i="20"/>
  <c r="G204" i="20"/>
  <c r="E204" i="20"/>
  <c r="F204" i="20" s="1"/>
  <c r="D204" i="20"/>
  <c r="D203" i="20"/>
  <c r="E203" i="20" s="1"/>
  <c r="F203" i="20" s="1"/>
  <c r="G202" i="20"/>
  <c r="E202" i="20"/>
  <c r="F202" i="20" s="1"/>
  <c r="D202" i="20"/>
  <c r="G201" i="20"/>
  <c r="D201" i="20"/>
  <c r="E201" i="20" s="1"/>
  <c r="F201" i="20" s="1"/>
  <c r="G200" i="20"/>
  <c r="E200" i="20"/>
  <c r="F200" i="20" s="1"/>
  <c r="D200" i="20"/>
  <c r="E199" i="20"/>
  <c r="F199" i="20" s="1"/>
  <c r="D199" i="20"/>
  <c r="G199" i="20" s="1"/>
  <c r="D198" i="20"/>
  <c r="G197" i="20"/>
  <c r="E197" i="20"/>
  <c r="F197" i="20" s="1"/>
  <c r="D197" i="20"/>
  <c r="D196" i="20"/>
  <c r="E196" i="20" s="1"/>
  <c r="F196" i="20" s="1"/>
  <c r="D195" i="20"/>
  <c r="G195" i="20" s="1"/>
  <c r="G194" i="20"/>
  <c r="D194" i="20"/>
  <c r="E194" i="20" s="1"/>
  <c r="F194" i="20" s="1"/>
  <c r="G193" i="20"/>
  <c r="E193" i="20"/>
  <c r="F193" i="20" s="1"/>
  <c r="D193" i="20"/>
  <c r="E192" i="20"/>
  <c r="F192" i="20" s="1"/>
  <c r="D192" i="20"/>
  <c r="G192" i="20" s="1"/>
  <c r="D191" i="20"/>
  <c r="G191" i="20" s="1"/>
  <c r="G190" i="20"/>
  <c r="F190" i="20"/>
  <c r="E190" i="20"/>
  <c r="D190" i="20"/>
  <c r="D189" i="20"/>
  <c r="D188" i="20"/>
  <c r="G188" i="20" s="1"/>
  <c r="G187" i="20"/>
  <c r="F187" i="20"/>
  <c r="D187" i="20"/>
  <c r="E187" i="20" s="1"/>
  <c r="G186" i="20"/>
  <c r="E186" i="20"/>
  <c r="F186" i="20" s="1"/>
  <c r="D186" i="20"/>
  <c r="E185" i="20"/>
  <c r="F185" i="20" s="1"/>
  <c r="D185" i="20"/>
  <c r="G185" i="20" s="1"/>
  <c r="D184" i="20"/>
  <c r="E184" i="20" s="1"/>
  <c r="F184" i="20" s="1"/>
  <c r="G183" i="20"/>
  <c r="E183" i="20"/>
  <c r="F183" i="20" s="1"/>
  <c r="D183" i="20"/>
  <c r="G182" i="20"/>
  <c r="D182" i="20"/>
  <c r="E182" i="20" s="1"/>
  <c r="F182" i="20" s="1"/>
  <c r="G181" i="20"/>
  <c r="D181" i="20"/>
  <c r="E181" i="20" s="1"/>
  <c r="F181" i="20" s="1"/>
  <c r="G180" i="20"/>
  <c r="F180" i="20"/>
  <c r="E180" i="20"/>
  <c r="D180" i="20"/>
  <c r="G179" i="20"/>
  <c r="E179" i="20"/>
  <c r="F179" i="20" s="1"/>
  <c r="D179" i="20"/>
  <c r="D178" i="20"/>
  <c r="G178" i="20" s="1"/>
  <c r="G177" i="20"/>
  <c r="D177" i="20"/>
  <c r="E177" i="20" s="1"/>
  <c r="F177" i="20" s="1"/>
  <c r="G176" i="20"/>
  <c r="E176" i="20"/>
  <c r="F176" i="20" s="1"/>
  <c r="D176" i="20"/>
  <c r="D175" i="20"/>
  <c r="D174" i="20"/>
  <c r="G174" i="20" s="1"/>
  <c r="G173" i="20"/>
  <c r="F173" i="20"/>
  <c r="E173" i="20"/>
  <c r="D173" i="20"/>
  <c r="G172" i="20"/>
  <c r="E172" i="20"/>
  <c r="F172" i="20" s="1"/>
  <c r="D172" i="20"/>
  <c r="D171" i="20"/>
  <c r="D170" i="20"/>
  <c r="E170" i="20" s="1"/>
  <c r="F170" i="20" s="1"/>
  <c r="G169" i="20"/>
  <c r="F169" i="20"/>
  <c r="E169" i="20"/>
  <c r="D169" i="20"/>
  <c r="G168" i="20"/>
  <c r="D168" i="20"/>
  <c r="E168" i="20" s="1"/>
  <c r="F168" i="20" s="1"/>
  <c r="G167" i="20"/>
  <c r="D167" i="20"/>
  <c r="E167" i="20" s="1"/>
  <c r="F167" i="20" s="1"/>
  <c r="G166" i="20"/>
  <c r="F166" i="20"/>
  <c r="E166" i="20"/>
  <c r="D166" i="20"/>
  <c r="G165" i="20"/>
  <c r="E165" i="20"/>
  <c r="F165" i="20" s="1"/>
  <c r="D165" i="20"/>
  <c r="E164" i="20"/>
  <c r="F164" i="20" s="1"/>
  <c r="D164" i="20"/>
  <c r="G164" i="20" s="1"/>
  <c r="G163" i="20"/>
  <c r="D163" i="20"/>
  <c r="E163" i="20" s="1"/>
  <c r="F163" i="20" s="1"/>
  <c r="G162" i="20"/>
  <c r="E162" i="20"/>
  <c r="F162" i="20" s="1"/>
  <c r="D162" i="20"/>
  <c r="G161" i="20"/>
  <c r="D161" i="20"/>
  <c r="E161" i="20" s="1"/>
  <c r="F161" i="20" s="1"/>
  <c r="G160" i="20"/>
  <c r="D160" i="20"/>
  <c r="E160" i="20" s="1"/>
  <c r="F160" i="20" s="1"/>
  <c r="G159" i="20"/>
  <c r="F159" i="20"/>
  <c r="E159" i="20"/>
  <c r="D159" i="20"/>
  <c r="G158" i="20"/>
  <c r="E158" i="20"/>
  <c r="F158" i="20" s="1"/>
  <c r="D158" i="20"/>
  <c r="D157" i="20"/>
  <c r="G157" i="20" s="1"/>
  <c r="G156" i="20"/>
  <c r="D156" i="20"/>
  <c r="E156" i="20" s="1"/>
  <c r="F156" i="20" s="1"/>
  <c r="G155" i="20"/>
  <c r="E155" i="20"/>
  <c r="F155" i="20" s="1"/>
  <c r="D155" i="20"/>
  <c r="D154" i="20"/>
  <c r="D153" i="20"/>
  <c r="E153" i="20" s="1"/>
  <c r="F153" i="20" s="1"/>
  <c r="G152" i="20"/>
  <c r="F152" i="20"/>
  <c r="E152" i="20"/>
  <c r="D152" i="20"/>
  <c r="G151" i="20"/>
  <c r="E151" i="20"/>
  <c r="F151" i="20" s="1"/>
  <c r="D151" i="20"/>
  <c r="D150" i="20"/>
  <c r="D149" i="20"/>
  <c r="G149" i="20" s="1"/>
  <c r="G148" i="20"/>
  <c r="E148" i="20"/>
  <c r="F148" i="20" s="1"/>
  <c r="D148" i="20"/>
  <c r="D147" i="20"/>
  <c r="E147" i="20" s="1"/>
  <c r="F147" i="20" s="1"/>
  <c r="D146" i="20"/>
  <c r="G146" i="20" s="1"/>
  <c r="G145" i="20"/>
  <c r="F145" i="20"/>
  <c r="E145" i="20"/>
  <c r="D145" i="20"/>
  <c r="G144" i="20"/>
  <c r="E144" i="20"/>
  <c r="F144" i="20" s="1"/>
  <c r="D144" i="20"/>
  <c r="D143" i="20"/>
  <c r="G143" i="20" s="1"/>
  <c r="D142" i="20"/>
  <c r="G142" i="20" s="1"/>
  <c r="G141" i="20"/>
  <c r="E141" i="20"/>
  <c r="F141" i="20" s="1"/>
  <c r="D141" i="20"/>
  <c r="D140" i="20"/>
  <c r="E140" i="20" s="1"/>
  <c r="F140" i="20" s="1"/>
  <c r="G139" i="20"/>
  <c r="D139" i="20"/>
  <c r="E139" i="20" s="1"/>
  <c r="F139" i="20" s="1"/>
  <c r="G138" i="20"/>
  <c r="F138" i="20"/>
  <c r="E138" i="20"/>
  <c r="D138" i="20"/>
  <c r="G137" i="20"/>
  <c r="E137" i="20"/>
  <c r="F137" i="20" s="1"/>
  <c r="D137" i="20"/>
  <c r="D136" i="20"/>
  <c r="G136" i="20" s="1"/>
  <c r="G135" i="20"/>
  <c r="F135" i="20"/>
  <c r="D135" i="20"/>
  <c r="E135" i="20" s="1"/>
  <c r="G134" i="20"/>
  <c r="E134" i="20"/>
  <c r="F134" i="20" s="1"/>
  <c r="D134" i="20"/>
  <c r="D133" i="20"/>
  <c r="E133" i="20" s="1"/>
  <c r="F133" i="20" s="1"/>
  <c r="G132" i="20"/>
  <c r="E132" i="20"/>
  <c r="F132" i="20" s="1"/>
  <c r="D132" i="20"/>
  <c r="G131" i="20"/>
  <c r="F131" i="20"/>
  <c r="E131" i="20"/>
  <c r="D131" i="20"/>
  <c r="G130" i="20"/>
  <c r="E130" i="20"/>
  <c r="F130" i="20" s="1"/>
  <c r="D130" i="20"/>
  <c r="D129" i="20"/>
  <c r="G129" i="20" s="1"/>
  <c r="G128" i="20"/>
  <c r="D128" i="20"/>
  <c r="E128" i="20" s="1"/>
  <c r="F128" i="20" s="1"/>
  <c r="G127" i="20"/>
  <c r="E127" i="20"/>
  <c r="F127" i="20" s="1"/>
  <c r="D127" i="20"/>
  <c r="D126" i="20"/>
  <c r="E126" i="20" s="1"/>
  <c r="F126" i="20" s="1"/>
  <c r="G125" i="20"/>
  <c r="E125" i="20"/>
  <c r="F125" i="20" s="1"/>
  <c r="D125" i="20"/>
  <c r="G124" i="20"/>
  <c r="F124" i="20"/>
  <c r="E124" i="20"/>
  <c r="D124" i="20"/>
  <c r="G123" i="20"/>
  <c r="E123" i="20"/>
  <c r="F123" i="20" s="1"/>
  <c r="D123" i="20"/>
  <c r="D122" i="20"/>
  <c r="G122" i="20" s="1"/>
  <c r="G121" i="20"/>
  <c r="E121" i="20"/>
  <c r="F121" i="20" s="1"/>
  <c r="D121" i="20"/>
  <c r="G120" i="20"/>
  <c r="E120" i="20"/>
  <c r="F120" i="20" s="1"/>
  <c r="D120" i="20"/>
  <c r="D119" i="20"/>
  <c r="E119" i="20" s="1"/>
  <c r="F119" i="20" s="1"/>
  <c r="G118" i="20"/>
  <c r="E118" i="20"/>
  <c r="F118" i="20" s="1"/>
  <c r="D118" i="20"/>
  <c r="G117" i="20"/>
  <c r="F117" i="20"/>
  <c r="D117" i="20"/>
  <c r="E117" i="20" s="1"/>
  <c r="G116" i="20"/>
  <c r="E116" i="20"/>
  <c r="F116" i="20" s="1"/>
  <c r="D116" i="20"/>
  <c r="D115" i="20"/>
  <c r="G115" i="20" s="1"/>
  <c r="D114" i="20"/>
  <c r="G114" i="20" s="1"/>
  <c r="G113" i="20"/>
  <c r="F113" i="20"/>
  <c r="E113" i="20"/>
  <c r="D113" i="20"/>
  <c r="G112" i="20"/>
  <c r="D112" i="20"/>
  <c r="E112" i="20" s="1"/>
  <c r="F112" i="20" s="1"/>
  <c r="D111" i="20"/>
  <c r="G111" i="20" s="1"/>
  <c r="G110" i="20"/>
  <c r="D110" i="20"/>
  <c r="E110" i="20" s="1"/>
  <c r="F110" i="20" s="1"/>
  <c r="G109" i="20"/>
  <c r="E109" i="20"/>
  <c r="F109" i="20" s="1"/>
  <c r="D109" i="20"/>
  <c r="D108" i="20"/>
  <c r="D107" i="20"/>
  <c r="G107" i="20" s="1"/>
  <c r="G106" i="20"/>
  <c r="F106" i="20"/>
  <c r="E106" i="20"/>
  <c r="D106" i="20"/>
  <c r="G105" i="20"/>
  <c r="D105" i="20"/>
  <c r="E105" i="20" s="1"/>
  <c r="F105" i="20" s="1"/>
  <c r="D104" i="20"/>
  <c r="G103" i="20"/>
  <c r="D103" i="20"/>
  <c r="E103" i="20" s="1"/>
  <c r="F103" i="20" s="1"/>
  <c r="G102" i="20"/>
  <c r="E102" i="20"/>
  <c r="F102" i="20" s="1"/>
  <c r="D102" i="20"/>
  <c r="D101" i="20"/>
  <c r="G101" i="20" s="1"/>
  <c r="E100" i="20"/>
  <c r="F100" i="20" s="1"/>
  <c r="D100" i="20"/>
  <c r="G100" i="20" s="1"/>
  <c r="G99" i="20"/>
  <c r="F99" i="20"/>
  <c r="E99" i="20"/>
  <c r="D99" i="20"/>
  <c r="D98" i="20"/>
  <c r="E98" i="20" s="1"/>
  <c r="F98" i="20" s="1"/>
  <c r="G97" i="20"/>
  <c r="D97" i="20"/>
  <c r="E97" i="20" s="1"/>
  <c r="F97" i="20" s="1"/>
  <c r="G96" i="20"/>
  <c r="D96" i="20"/>
  <c r="E96" i="20" s="1"/>
  <c r="F96" i="20" s="1"/>
  <c r="G95" i="20"/>
  <c r="E95" i="20"/>
  <c r="F95" i="20" s="1"/>
  <c r="D95" i="20"/>
  <c r="D94" i="20"/>
  <c r="G94" i="20" s="1"/>
  <c r="F93" i="20"/>
  <c r="E93" i="20"/>
  <c r="D93" i="20"/>
  <c r="G93" i="20" s="1"/>
  <c r="G92" i="20"/>
  <c r="F92" i="20"/>
  <c r="E92" i="20"/>
  <c r="D92" i="20"/>
  <c r="D91" i="20"/>
  <c r="E90" i="20"/>
  <c r="F90" i="20" s="1"/>
  <c r="D90" i="20"/>
  <c r="G90" i="20" s="1"/>
  <c r="G89" i="20"/>
  <c r="D89" i="20"/>
  <c r="E89" i="20" s="1"/>
  <c r="F89" i="20" s="1"/>
  <c r="G88" i="20"/>
  <c r="E88" i="20"/>
  <c r="F88" i="20" s="1"/>
  <c r="D88" i="20"/>
  <c r="E87" i="20"/>
  <c r="F87" i="20" s="1"/>
  <c r="D87" i="20"/>
  <c r="G87" i="20" s="1"/>
  <c r="D86" i="20"/>
  <c r="E86" i="20" s="1"/>
  <c r="F86" i="20" s="1"/>
  <c r="G85" i="20"/>
  <c r="F85" i="20"/>
  <c r="E85" i="20"/>
  <c r="D85" i="20"/>
  <c r="D84" i="20"/>
  <c r="E84" i="20" s="1"/>
  <c r="F84" i="20" s="1"/>
  <c r="E83" i="20"/>
  <c r="F83" i="20" s="1"/>
  <c r="D83" i="20"/>
  <c r="G83" i="20" s="1"/>
  <c r="G82" i="20"/>
  <c r="D82" i="20"/>
  <c r="E82" i="20" s="1"/>
  <c r="F82" i="20" s="1"/>
  <c r="G81" i="20"/>
  <c r="E81" i="20"/>
  <c r="F81" i="20" s="1"/>
  <c r="D81" i="20"/>
  <c r="D80" i="20"/>
  <c r="G80" i="20" s="1"/>
  <c r="G79" i="20"/>
  <c r="D79" i="20"/>
  <c r="E79" i="20" s="1"/>
  <c r="F79" i="20" s="1"/>
  <c r="G78" i="20"/>
  <c r="F78" i="20"/>
  <c r="E78" i="20"/>
  <c r="D78" i="20"/>
  <c r="D77" i="20"/>
  <c r="E77" i="20" s="1"/>
  <c r="F77" i="20" s="1"/>
  <c r="G76" i="20"/>
  <c r="D76" i="20"/>
  <c r="E76" i="20" s="1"/>
  <c r="F76" i="20" s="1"/>
  <c r="G75" i="20"/>
  <c r="D75" i="20"/>
  <c r="E75" i="20" s="1"/>
  <c r="F75" i="20" s="1"/>
  <c r="G74" i="20"/>
  <c r="E74" i="20"/>
  <c r="F74" i="20" s="1"/>
  <c r="D74" i="20"/>
  <c r="D73" i="20"/>
  <c r="D72" i="20"/>
  <c r="G72" i="20" s="1"/>
  <c r="G71" i="20"/>
  <c r="F71" i="20"/>
  <c r="E71" i="20"/>
  <c r="D71" i="20"/>
  <c r="G70" i="20"/>
  <c r="D70" i="20"/>
  <c r="E70" i="20" s="1"/>
  <c r="F70" i="20" s="1"/>
  <c r="G69" i="20"/>
  <c r="D69" i="20"/>
  <c r="E69" i="20" s="1"/>
  <c r="F69" i="20" s="1"/>
  <c r="G68" i="20"/>
  <c r="D68" i="20"/>
  <c r="E68" i="20" s="1"/>
  <c r="F68" i="20" s="1"/>
  <c r="G67" i="20"/>
  <c r="E67" i="20"/>
  <c r="F67" i="20" s="1"/>
  <c r="D67" i="20"/>
  <c r="D66" i="20"/>
  <c r="G66" i="20" s="1"/>
  <c r="D65" i="20"/>
  <c r="G65" i="20" s="1"/>
  <c r="G64" i="20"/>
  <c r="F64" i="20"/>
  <c r="E64" i="20"/>
  <c r="D64" i="20"/>
  <c r="G63" i="20"/>
  <c r="D63" i="20"/>
  <c r="E63" i="20" s="1"/>
  <c r="F63" i="20" s="1"/>
  <c r="G62" i="20"/>
  <c r="D62" i="20"/>
  <c r="E62" i="20" s="1"/>
  <c r="F62" i="20" s="1"/>
  <c r="G61" i="20"/>
  <c r="F61" i="20"/>
  <c r="E61" i="20"/>
  <c r="D61" i="20"/>
  <c r="G60" i="20"/>
  <c r="E60" i="20"/>
  <c r="F60" i="20" s="1"/>
  <c r="D60" i="20"/>
  <c r="D59" i="20"/>
  <c r="G59" i="20" s="1"/>
  <c r="G58" i="20"/>
  <c r="D58" i="20"/>
  <c r="E58" i="20" s="1"/>
  <c r="F58" i="20" s="1"/>
  <c r="G57" i="20"/>
  <c r="F57" i="20"/>
  <c r="E57" i="20"/>
  <c r="D57" i="20"/>
  <c r="D56" i="20"/>
  <c r="E56" i="20" s="1"/>
  <c r="F56" i="20" s="1"/>
  <c r="G55" i="20"/>
  <c r="D55" i="20"/>
  <c r="E55" i="20" s="1"/>
  <c r="F55" i="20" s="1"/>
  <c r="G54" i="20"/>
  <c r="F54" i="20"/>
  <c r="E54" i="20"/>
  <c r="D54" i="20"/>
  <c r="G53" i="20"/>
  <c r="E53" i="20"/>
  <c r="F53" i="20" s="1"/>
  <c r="D53" i="20"/>
  <c r="E52" i="20"/>
  <c r="F52" i="20" s="1"/>
  <c r="D52" i="20"/>
  <c r="G52" i="20" s="1"/>
  <c r="G51" i="20"/>
  <c r="F51" i="20"/>
  <c r="E51" i="20"/>
  <c r="D51" i="20"/>
  <c r="G50" i="20"/>
  <c r="F50" i="20"/>
  <c r="E50" i="20"/>
  <c r="D50" i="20"/>
  <c r="D49" i="20"/>
  <c r="D48" i="20"/>
  <c r="G48" i="20" s="1"/>
  <c r="G47" i="20"/>
  <c r="F47" i="20"/>
  <c r="E47" i="20"/>
  <c r="D47" i="20"/>
  <c r="G46" i="20"/>
  <c r="E46" i="20"/>
  <c r="F46" i="20" s="1"/>
  <c r="D46" i="20"/>
  <c r="D45" i="20"/>
  <c r="D44" i="20"/>
  <c r="G44" i="20" s="1"/>
  <c r="G43" i="20"/>
  <c r="E43" i="20"/>
  <c r="F43" i="20" s="1"/>
  <c r="D43" i="20"/>
  <c r="D42" i="20"/>
  <c r="E42" i="20" s="1"/>
  <c r="F42" i="20" s="1"/>
  <c r="E41" i="20"/>
  <c r="F41" i="20" s="1"/>
  <c r="D41" i="20"/>
  <c r="G41" i="20" s="1"/>
  <c r="G40" i="20"/>
  <c r="F40" i="20"/>
  <c r="E40" i="20"/>
  <c r="D40" i="20"/>
  <c r="G39" i="20"/>
  <c r="E39" i="20"/>
  <c r="F39" i="20" s="1"/>
  <c r="D39" i="20"/>
  <c r="D38" i="20"/>
  <c r="G38" i="20" s="1"/>
  <c r="E37" i="20"/>
  <c r="F37" i="20" s="1"/>
  <c r="D37" i="20"/>
  <c r="G37" i="20" s="1"/>
  <c r="G36" i="20"/>
  <c r="F36" i="20"/>
  <c r="E36" i="20"/>
  <c r="D36" i="20"/>
  <c r="G35" i="20"/>
  <c r="D35" i="20"/>
  <c r="E35" i="20" s="1"/>
  <c r="F35" i="20" s="1"/>
  <c r="E34" i="20"/>
  <c r="F34" i="20" s="1"/>
  <c r="D34" i="20"/>
  <c r="G34" i="20" s="1"/>
  <c r="G33" i="20"/>
  <c r="F33" i="20"/>
  <c r="E33" i="20"/>
  <c r="D33" i="20"/>
  <c r="G32" i="20"/>
  <c r="E32" i="20"/>
  <c r="F32" i="20" s="1"/>
  <c r="D32" i="20"/>
  <c r="D31" i="20"/>
  <c r="G31" i="20" s="1"/>
  <c r="E30" i="20"/>
  <c r="F30" i="20" s="1"/>
  <c r="D30" i="20"/>
  <c r="G30" i="20" s="1"/>
  <c r="G29" i="20"/>
  <c r="F29" i="20"/>
  <c r="D29" i="20"/>
  <c r="F28" i="20"/>
  <c r="D28" i="20"/>
  <c r="G28" i="20" s="1"/>
  <c r="F27" i="20"/>
  <c r="D27" i="20"/>
  <c r="G27" i="20" s="1"/>
  <c r="G26" i="20"/>
  <c r="F26" i="20"/>
  <c r="D26" i="20"/>
  <c r="G25" i="20"/>
  <c r="F25" i="20"/>
  <c r="D25" i="20"/>
  <c r="G24" i="20"/>
  <c r="F24" i="20"/>
  <c r="D24" i="20"/>
  <c r="G23" i="20"/>
  <c r="F23" i="20"/>
  <c r="D23" i="20"/>
  <c r="F22" i="20"/>
  <c r="D22" i="20"/>
  <c r="G22" i="20" s="1"/>
  <c r="G21" i="20"/>
  <c r="F21" i="20"/>
  <c r="D21" i="20"/>
  <c r="G20" i="20"/>
  <c r="F20" i="20"/>
  <c r="D20" i="20"/>
  <c r="F19" i="20"/>
  <c r="D19" i="20"/>
  <c r="G19" i="20" s="1"/>
  <c r="F18" i="20"/>
  <c r="D18" i="20"/>
  <c r="G18" i="20" s="1"/>
  <c r="G17" i="20"/>
  <c r="F17" i="20"/>
  <c r="D17" i="20"/>
  <c r="G16" i="20"/>
  <c r="F16" i="20"/>
  <c r="D16" i="20"/>
  <c r="G15" i="20"/>
  <c r="F15" i="20"/>
  <c r="D15" i="20"/>
  <c r="F14" i="20"/>
  <c r="D14" i="20"/>
  <c r="G14" i="20" s="1"/>
  <c r="F13" i="20"/>
  <c r="D13" i="20"/>
  <c r="G13" i="20" s="1"/>
  <c r="G12" i="20"/>
  <c r="F12" i="20"/>
  <c r="D12" i="20"/>
  <c r="G11" i="20"/>
  <c r="F11" i="20"/>
  <c r="D11" i="20"/>
  <c r="G10" i="20"/>
  <c r="F10" i="20"/>
  <c r="D10" i="20"/>
  <c r="G9" i="20"/>
  <c r="F9" i="20"/>
  <c r="D9" i="20"/>
  <c r="F8" i="20"/>
  <c r="D8" i="20"/>
  <c r="G8" i="20" s="1"/>
  <c r="D7" i="20"/>
  <c r="D343" i="18"/>
  <c r="D330" i="18"/>
  <c r="E330" i="18" s="1"/>
  <c r="F330" i="18" s="1"/>
  <c r="G329" i="18"/>
  <c r="F329" i="18"/>
  <c r="E329" i="18"/>
  <c r="D329" i="18"/>
  <c r="G328" i="18"/>
  <c r="E328" i="18"/>
  <c r="F328" i="18" s="1"/>
  <c r="D328" i="18"/>
  <c r="E327" i="18"/>
  <c r="D346" i="18" s="1"/>
  <c r="D327" i="18"/>
  <c r="G327" i="18" s="1"/>
  <c r="G326" i="18"/>
  <c r="D326" i="18"/>
  <c r="D323" i="18"/>
  <c r="E323" i="18" s="1"/>
  <c r="F323" i="18" s="1"/>
  <c r="G322" i="18"/>
  <c r="F322" i="18"/>
  <c r="E322" i="18"/>
  <c r="D322" i="18"/>
  <c r="G321" i="18"/>
  <c r="D321" i="18"/>
  <c r="E321" i="18" s="1"/>
  <c r="F321" i="18" s="1"/>
  <c r="G320" i="18"/>
  <c r="E320" i="18"/>
  <c r="F320" i="18" s="1"/>
  <c r="D320" i="18"/>
  <c r="D319" i="18"/>
  <c r="G319" i="18" s="1"/>
  <c r="D318" i="18"/>
  <c r="G318" i="18" s="1"/>
  <c r="G317" i="18"/>
  <c r="F317" i="18"/>
  <c r="E317" i="18"/>
  <c r="D317" i="18"/>
  <c r="D316" i="18"/>
  <c r="D315" i="18"/>
  <c r="G314" i="18"/>
  <c r="E314" i="18"/>
  <c r="F314" i="18" s="1"/>
  <c r="D314" i="18"/>
  <c r="G313" i="18"/>
  <c r="E313" i="18"/>
  <c r="F313" i="18" s="1"/>
  <c r="D313" i="18"/>
  <c r="D312" i="18"/>
  <c r="E311" i="18"/>
  <c r="F311" i="18" s="1"/>
  <c r="D311" i="18"/>
  <c r="G311" i="18" s="1"/>
  <c r="G310" i="18"/>
  <c r="E310" i="18"/>
  <c r="F310" i="18" s="1"/>
  <c r="D310" i="18"/>
  <c r="E23" i="17" s="1"/>
  <c r="F23" i="17" s="1"/>
  <c r="G309" i="18"/>
  <c r="D309" i="18"/>
  <c r="D308" i="18"/>
  <c r="D307" i="18"/>
  <c r="G306" i="18"/>
  <c r="E306" i="18"/>
  <c r="F306" i="18" s="1"/>
  <c r="G305" i="18"/>
  <c r="F305" i="18"/>
  <c r="E305" i="18"/>
  <c r="G304" i="18"/>
  <c r="F304" i="18"/>
  <c r="E304" i="18"/>
  <c r="G303" i="18"/>
  <c r="E303" i="18"/>
  <c r="F303" i="18" s="1"/>
  <c r="G302" i="18"/>
  <c r="E302" i="18"/>
  <c r="F302" i="18" s="1"/>
  <c r="G301" i="18"/>
  <c r="F301" i="18"/>
  <c r="E301" i="18"/>
  <c r="G299" i="18"/>
  <c r="F299" i="18"/>
  <c r="E299" i="18"/>
  <c r="G298" i="18"/>
  <c r="F298" i="18"/>
  <c r="E298" i="18"/>
  <c r="G297" i="18"/>
  <c r="F297" i="18"/>
  <c r="E297" i="18"/>
  <c r="G296" i="18"/>
  <c r="E296" i="18"/>
  <c r="F296" i="18" s="1"/>
  <c r="G295" i="18"/>
  <c r="E295" i="18"/>
  <c r="F295" i="18" s="1"/>
  <c r="D294" i="18"/>
  <c r="C294" i="18"/>
  <c r="G293" i="18"/>
  <c r="F293" i="18"/>
  <c r="E293" i="18"/>
  <c r="G292" i="18"/>
  <c r="D292" i="18"/>
  <c r="E292" i="18" s="1"/>
  <c r="F292" i="18" s="1"/>
  <c r="E291" i="18"/>
  <c r="F291" i="18" s="1"/>
  <c r="D291" i="18"/>
  <c r="G291" i="18" s="1"/>
  <c r="D290" i="18"/>
  <c r="E290" i="18" s="1"/>
  <c r="F290" i="18" s="1"/>
  <c r="G289" i="18"/>
  <c r="E289" i="18"/>
  <c r="F289" i="18" s="1"/>
  <c r="D289" i="18"/>
  <c r="G288" i="18"/>
  <c r="E288" i="18"/>
  <c r="F288" i="18" s="1"/>
  <c r="D288" i="18"/>
  <c r="D287" i="18"/>
  <c r="G286" i="18"/>
  <c r="E286" i="18"/>
  <c r="F286" i="18" s="1"/>
  <c r="D286" i="18"/>
  <c r="D285" i="18"/>
  <c r="G285" i="18" s="1"/>
  <c r="G284" i="18"/>
  <c r="D284" i="18"/>
  <c r="E284" i="18" s="1"/>
  <c r="F284" i="18" s="1"/>
  <c r="D283" i="18"/>
  <c r="G283" i="18" s="1"/>
  <c r="D282" i="18"/>
  <c r="G282" i="18" s="1"/>
  <c r="G281" i="18"/>
  <c r="F281" i="18"/>
  <c r="D281" i="18"/>
  <c r="E281" i="18" s="1"/>
  <c r="E280" i="18"/>
  <c r="F280" i="18" s="1"/>
  <c r="D280" i="18"/>
  <c r="G280" i="18" s="1"/>
  <c r="G279" i="18"/>
  <c r="E279" i="18"/>
  <c r="F279" i="18" s="1"/>
  <c r="D279" i="18"/>
  <c r="D278" i="18"/>
  <c r="C277" i="18"/>
  <c r="D276" i="18"/>
  <c r="G276" i="18" s="1"/>
  <c r="D275" i="18"/>
  <c r="D274" i="18"/>
  <c r="F274" i="18" s="1"/>
  <c r="C274" i="18"/>
  <c r="D273" i="18"/>
  <c r="C273" i="18"/>
  <c r="D272" i="18"/>
  <c r="F272" i="18" s="1"/>
  <c r="C272" i="18"/>
  <c r="D271" i="18"/>
  <c r="F271" i="18" s="1"/>
  <c r="C271" i="18"/>
  <c r="D270" i="18"/>
  <c r="C270" i="18"/>
  <c r="D269" i="18"/>
  <c r="C269" i="18"/>
  <c r="G268" i="18"/>
  <c r="F268" i="18"/>
  <c r="E268" i="18"/>
  <c r="D268" i="18"/>
  <c r="C268" i="18"/>
  <c r="F267" i="18"/>
  <c r="E267" i="18"/>
  <c r="G267" i="18" s="1"/>
  <c r="D267" i="18"/>
  <c r="C267" i="18"/>
  <c r="D266" i="18"/>
  <c r="C266" i="18"/>
  <c r="G265" i="18"/>
  <c r="F265" i="18"/>
  <c r="D265" i="18"/>
  <c r="E265" i="18" s="1"/>
  <c r="C265" i="18"/>
  <c r="G264" i="18"/>
  <c r="F264" i="18"/>
  <c r="D264" i="18"/>
  <c r="E264" i="18" s="1"/>
  <c r="C264" i="18"/>
  <c r="D263" i="18"/>
  <c r="G262" i="18"/>
  <c r="F262" i="18"/>
  <c r="E262" i="18"/>
  <c r="D262" i="18"/>
  <c r="G261" i="18"/>
  <c r="F261" i="18"/>
  <c r="E261" i="18"/>
  <c r="D261" i="18"/>
  <c r="E260" i="18"/>
  <c r="D260" i="18"/>
  <c r="D259" i="18"/>
  <c r="E259" i="18" s="1"/>
  <c r="G258" i="18"/>
  <c r="D258" i="18"/>
  <c r="F258" i="18" s="1"/>
  <c r="G257" i="18"/>
  <c r="E257" i="18"/>
  <c r="D257" i="18"/>
  <c r="F257" i="18" s="1"/>
  <c r="D256" i="18"/>
  <c r="G256" i="18" s="1"/>
  <c r="D255" i="18"/>
  <c r="G255" i="18" s="1"/>
  <c r="G254" i="18"/>
  <c r="F254" i="18"/>
  <c r="E254" i="18"/>
  <c r="D254" i="18"/>
  <c r="D253" i="18"/>
  <c r="D252" i="18"/>
  <c r="G252" i="18" s="1"/>
  <c r="G251" i="18"/>
  <c r="F251" i="18"/>
  <c r="D251" i="18"/>
  <c r="E251" i="18" s="1"/>
  <c r="D250" i="18"/>
  <c r="D249" i="18"/>
  <c r="D248" i="18"/>
  <c r="G248" i="18" s="1"/>
  <c r="G247" i="18"/>
  <c r="D247" i="18"/>
  <c r="F247" i="18" s="1"/>
  <c r="F246" i="18"/>
  <c r="D246" i="18"/>
  <c r="G246" i="18" s="1"/>
  <c r="D245" i="18"/>
  <c r="G245" i="18" s="1"/>
  <c r="G244" i="18"/>
  <c r="E244" i="18"/>
  <c r="D244" i="18"/>
  <c r="D242" i="18"/>
  <c r="E241" i="18"/>
  <c r="F241" i="18" s="1"/>
  <c r="D241" i="18"/>
  <c r="G241" i="18" s="1"/>
  <c r="D240" i="18"/>
  <c r="G240" i="18" s="1"/>
  <c r="G239" i="18"/>
  <c r="D239" i="18"/>
  <c r="E239" i="18" s="1"/>
  <c r="F239" i="18" s="1"/>
  <c r="D238" i="18"/>
  <c r="G238" i="18" s="1"/>
  <c r="D237" i="18"/>
  <c r="G237" i="18" s="1"/>
  <c r="G236" i="18"/>
  <c r="E236" i="18"/>
  <c r="F236" i="18" s="1"/>
  <c r="D236" i="18"/>
  <c r="D235" i="18"/>
  <c r="E234" i="18"/>
  <c r="F234" i="18" s="1"/>
  <c r="D234" i="18"/>
  <c r="G234" i="18" s="1"/>
  <c r="D233" i="18"/>
  <c r="E233" i="18" s="1"/>
  <c r="F233" i="18" s="1"/>
  <c r="G232" i="18"/>
  <c r="D232" i="18"/>
  <c r="E232" i="18" s="1"/>
  <c r="F232" i="18" s="1"/>
  <c r="D231" i="18"/>
  <c r="G231" i="18" s="1"/>
  <c r="D230" i="18"/>
  <c r="G230" i="18" s="1"/>
  <c r="G229" i="18"/>
  <c r="F229" i="18"/>
  <c r="E229" i="18"/>
  <c r="D229" i="18"/>
  <c r="D228" i="18"/>
  <c r="D227" i="18"/>
  <c r="G226" i="18"/>
  <c r="F226" i="18"/>
  <c r="E226" i="18"/>
  <c r="D226" i="18"/>
  <c r="G225" i="18"/>
  <c r="D225" i="18"/>
  <c r="E225" i="18" s="1"/>
  <c r="F225" i="18" s="1"/>
  <c r="D224" i="18"/>
  <c r="G224" i="18" s="1"/>
  <c r="D223" i="18"/>
  <c r="G223" i="18" s="1"/>
  <c r="G222" i="18"/>
  <c r="E222" i="18"/>
  <c r="F222" i="18" s="1"/>
  <c r="D222" i="18"/>
  <c r="D221" i="18"/>
  <c r="D220" i="18"/>
  <c r="G220" i="18" s="1"/>
  <c r="E219" i="18"/>
  <c r="F219" i="18" s="1"/>
  <c r="D219" i="18"/>
  <c r="G219" i="18" s="1"/>
  <c r="G218" i="18"/>
  <c r="D218" i="18"/>
  <c r="E218" i="18" s="1"/>
  <c r="F218" i="18" s="1"/>
  <c r="D217" i="18"/>
  <c r="G217" i="18" s="1"/>
  <c r="D216" i="18"/>
  <c r="E216" i="18" s="1"/>
  <c r="F216" i="18" s="1"/>
  <c r="G215" i="18"/>
  <c r="E215" i="18"/>
  <c r="F215" i="18" s="1"/>
  <c r="D215" i="18"/>
  <c r="D214" i="18"/>
  <c r="E213" i="18"/>
  <c r="D213" i="18"/>
  <c r="G210" i="18"/>
  <c r="D210" i="18"/>
  <c r="E210" i="18" s="1"/>
  <c r="F210" i="18" s="1"/>
  <c r="D209" i="18"/>
  <c r="G209" i="18" s="1"/>
  <c r="D208" i="18"/>
  <c r="G208" i="18" s="1"/>
  <c r="G207" i="18"/>
  <c r="E207" i="18"/>
  <c r="F207" i="18" s="1"/>
  <c r="D207" i="18"/>
  <c r="D206" i="18"/>
  <c r="E205" i="18"/>
  <c r="F205" i="18" s="1"/>
  <c r="D205" i="18"/>
  <c r="G205" i="18" s="1"/>
  <c r="G204" i="18"/>
  <c r="D204" i="18"/>
  <c r="E204" i="18" s="1"/>
  <c r="F204" i="18" s="1"/>
  <c r="G203" i="18"/>
  <c r="D203" i="18"/>
  <c r="E203" i="18" s="1"/>
  <c r="F203" i="18" s="1"/>
  <c r="D202" i="18"/>
  <c r="G202" i="18" s="1"/>
  <c r="D201" i="18"/>
  <c r="E201" i="18" s="1"/>
  <c r="F201" i="18" s="1"/>
  <c r="G200" i="18"/>
  <c r="E200" i="18"/>
  <c r="F200" i="18" s="1"/>
  <c r="D200" i="18"/>
  <c r="D199" i="18"/>
  <c r="D198" i="18"/>
  <c r="G198" i="18" s="1"/>
  <c r="F197" i="18"/>
  <c r="E197" i="18"/>
  <c r="D197" i="18"/>
  <c r="G197" i="18" s="1"/>
  <c r="G196" i="18"/>
  <c r="D196" i="18"/>
  <c r="E196" i="18" s="1"/>
  <c r="F196" i="18" s="1"/>
  <c r="D195" i="18"/>
  <c r="G195" i="18" s="1"/>
  <c r="G194" i="18"/>
  <c r="E194" i="18"/>
  <c r="F194" i="18" s="1"/>
  <c r="D194" i="18"/>
  <c r="G193" i="18"/>
  <c r="E193" i="18"/>
  <c r="F193" i="18" s="1"/>
  <c r="D193" i="18"/>
  <c r="D192" i="18"/>
  <c r="D191" i="18"/>
  <c r="G191" i="18" s="1"/>
  <c r="D190" i="18"/>
  <c r="G190" i="18" s="1"/>
  <c r="G189" i="18"/>
  <c r="D189" i="18"/>
  <c r="E189" i="18" s="1"/>
  <c r="F189" i="18" s="1"/>
  <c r="D188" i="18"/>
  <c r="G188" i="18" s="1"/>
  <c r="E187" i="18"/>
  <c r="F187" i="18" s="1"/>
  <c r="D187" i="18"/>
  <c r="G187" i="18" s="1"/>
  <c r="G186" i="18"/>
  <c r="E186" i="18"/>
  <c r="F186" i="18" s="1"/>
  <c r="D186" i="18"/>
  <c r="D185" i="18"/>
  <c r="E184" i="18"/>
  <c r="F184" i="18" s="1"/>
  <c r="D184" i="18"/>
  <c r="G184" i="18" s="1"/>
  <c r="G183" i="18"/>
  <c r="D183" i="18"/>
  <c r="E183" i="18" s="1"/>
  <c r="F183" i="18" s="1"/>
  <c r="G182" i="18"/>
  <c r="D182" i="18"/>
  <c r="E182" i="18" s="1"/>
  <c r="F182" i="18" s="1"/>
  <c r="D181" i="18"/>
  <c r="G181" i="18" s="1"/>
  <c r="D180" i="18"/>
  <c r="G179" i="18"/>
  <c r="E179" i="18"/>
  <c r="F179" i="18" s="1"/>
  <c r="D179" i="18"/>
  <c r="D178" i="18"/>
  <c r="D177" i="18"/>
  <c r="G177" i="18" s="1"/>
  <c r="D176" i="18"/>
  <c r="G176" i="18" s="1"/>
  <c r="G175" i="18"/>
  <c r="D175" i="18"/>
  <c r="E175" i="18" s="1"/>
  <c r="F175" i="18" s="1"/>
  <c r="D174" i="18"/>
  <c r="G174" i="18" s="1"/>
  <c r="G173" i="18"/>
  <c r="D173" i="18"/>
  <c r="E173" i="18" s="1"/>
  <c r="F173" i="18" s="1"/>
  <c r="G172" i="18"/>
  <c r="E172" i="18"/>
  <c r="F172" i="18" s="1"/>
  <c r="D172" i="18"/>
  <c r="D171" i="18"/>
  <c r="D170" i="18"/>
  <c r="G170" i="18" s="1"/>
  <c r="E169" i="18"/>
  <c r="F169" i="18" s="1"/>
  <c r="D169" i="18"/>
  <c r="G169" i="18" s="1"/>
  <c r="G168" i="18"/>
  <c r="D168" i="18"/>
  <c r="E168" i="18" s="1"/>
  <c r="F168" i="18" s="1"/>
  <c r="D167" i="18"/>
  <c r="G167" i="18" s="1"/>
  <c r="D166" i="18"/>
  <c r="G166" i="18" s="1"/>
  <c r="G165" i="18"/>
  <c r="E165" i="18"/>
  <c r="F165" i="18" s="1"/>
  <c r="D165" i="18"/>
  <c r="D164" i="18"/>
  <c r="D163" i="18"/>
  <c r="G163" i="18" s="1"/>
  <c r="D162" i="18"/>
  <c r="G162" i="18" s="1"/>
  <c r="G161" i="18"/>
  <c r="D161" i="18"/>
  <c r="E161" i="18" s="1"/>
  <c r="F161" i="18" s="1"/>
  <c r="D160" i="18"/>
  <c r="G160" i="18" s="1"/>
  <c r="D159" i="18"/>
  <c r="G159" i="18" s="1"/>
  <c r="G158" i="18"/>
  <c r="F158" i="18"/>
  <c r="E158" i="18"/>
  <c r="D158" i="18"/>
  <c r="D157" i="18"/>
  <c r="D156" i="18"/>
  <c r="G156" i="18" s="1"/>
  <c r="D155" i="18"/>
  <c r="G155" i="18" s="1"/>
  <c r="G154" i="18"/>
  <c r="D154" i="18"/>
  <c r="E154" i="18" s="1"/>
  <c r="F154" i="18" s="1"/>
  <c r="D153" i="18"/>
  <c r="G153" i="18" s="1"/>
  <c r="G152" i="18"/>
  <c r="D152" i="18"/>
  <c r="E152" i="18" s="1"/>
  <c r="F152" i="18" s="1"/>
  <c r="G151" i="18"/>
  <c r="F151" i="18"/>
  <c r="E151" i="18"/>
  <c r="D151" i="18"/>
  <c r="D150" i="18"/>
  <c r="D149" i="18"/>
  <c r="G149" i="18" s="1"/>
  <c r="D148" i="18"/>
  <c r="E148" i="18" s="1"/>
  <c r="F148" i="18" s="1"/>
  <c r="G147" i="18"/>
  <c r="D147" i="18"/>
  <c r="E147" i="18" s="1"/>
  <c r="F147" i="18" s="1"/>
  <c r="D146" i="18"/>
  <c r="G146" i="18" s="1"/>
  <c r="D145" i="18"/>
  <c r="G145" i="18" s="1"/>
  <c r="G144" i="18"/>
  <c r="E144" i="18"/>
  <c r="F144" i="18" s="1"/>
  <c r="D144" i="18"/>
  <c r="D143" i="18"/>
  <c r="E142" i="18"/>
  <c r="F142" i="18" s="1"/>
  <c r="D142" i="18"/>
  <c r="G142" i="18" s="1"/>
  <c r="D141" i="18"/>
  <c r="G141" i="18" s="1"/>
  <c r="G140" i="18"/>
  <c r="D140" i="18"/>
  <c r="E140" i="18" s="1"/>
  <c r="F140" i="18" s="1"/>
  <c r="D139" i="18"/>
  <c r="G139" i="18" s="1"/>
  <c r="E138" i="18"/>
  <c r="F138" i="18" s="1"/>
  <c r="D138" i="18"/>
  <c r="G138" i="18" s="1"/>
  <c r="G137" i="18"/>
  <c r="E137" i="18"/>
  <c r="F137" i="18" s="1"/>
  <c r="D137" i="18"/>
  <c r="D136" i="18"/>
  <c r="E135" i="18"/>
  <c r="F135" i="18" s="1"/>
  <c r="D135" i="18"/>
  <c r="G135" i="18" s="1"/>
  <c r="D134" i="18"/>
  <c r="E134" i="18" s="1"/>
  <c r="F134" i="18" s="1"/>
  <c r="G133" i="18"/>
  <c r="D133" i="18"/>
  <c r="E133" i="18" s="1"/>
  <c r="F133" i="18" s="1"/>
  <c r="D132" i="18"/>
  <c r="G132" i="18" s="1"/>
  <c r="D131" i="18"/>
  <c r="G131" i="18" s="1"/>
  <c r="G130" i="18"/>
  <c r="E130" i="18"/>
  <c r="F130" i="18" s="1"/>
  <c r="D130" i="18"/>
  <c r="D129" i="18"/>
  <c r="D128" i="18"/>
  <c r="G127" i="18"/>
  <c r="E127" i="18"/>
  <c r="F127" i="18" s="1"/>
  <c r="D127" i="18"/>
  <c r="G126" i="18"/>
  <c r="D126" i="18"/>
  <c r="E126" i="18" s="1"/>
  <c r="F126" i="18" s="1"/>
  <c r="D125" i="18"/>
  <c r="G125" i="18" s="1"/>
  <c r="D124" i="18"/>
  <c r="G124" i="18" s="1"/>
  <c r="G123" i="18"/>
  <c r="F123" i="18"/>
  <c r="E123" i="18"/>
  <c r="D123" i="18"/>
  <c r="D122" i="18"/>
  <c r="D121" i="18"/>
  <c r="G121" i="18" s="1"/>
  <c r="E120" i="18"/>
  <c r="F120" i="18" s="1"/>
  <c r="D120" i="18"/>
  <c r="G120" i="18" s="1"/>
  <c r="G119" i="18"/>
  <c r="D119" i="18"/>
  <c r="E119" i="18" s="1"/>
  <c r="F119" i="18" s="1"/>
  <c r="D118" i="18"/>
  <c r="G118" i="18" s="1"/>
  <c r="D117" i="18"/>
  <c r="E9" i="17" s="1"/>
  <c r="F9" i="17" s="1"/>
  <c r="G116" i="18"/>
  <c r="E116" i="18"/>
  <c r="F116" i="18" s="1"/>
  <c r="D116" i="18"/>
  <c r="D115" i="18"/>
  <c r="D114" i="18"/>
  <c r="G114" i="18" s="1"/>
  <c r="D113" i="18"/>
  <c r="G112" i="18"/>
  <c r="D112" i="18"/>
  <c r="E112" i="18" s="1"/>
  <c r="F112" i="18" s="1"/>
  <c r="D111" i="18"/>
  <c r="G111" i="18" s="1"/>
  <c r="D110" i="18"/>
  <c r="G110" i="18" s="1"/>
  <c r="G109" i="18"/>
  <c r="E109" i="18"/>
  <c r="F109" i="18" s="1"/>
  <c r="D109" i="18"/>
  <c r="D108" i="18"/>
  <c r="E107" i="18"/>
  <c r="F107" i="18" s="1"/>
  <c r="D107" i="18"/>
  <c r="G107" i="18" s="1"/>
  <c r="G106" i="18"/>
  <c r="D106" i="18"/>
  <c r="E106" i="18" s="1"/>
  <c r="F106" i="18" s="1"/>
  <c r="G105" i="18"/>
  <c r="D105" i="18"/>
  <c r="E105" i="18" s="1"/>
  <c r="F105" i="18" s="1"/>
  <c r="D104" i="18"/>
  <c r="G104" i="18" s="1"/>
  <c r="D103" i="18"/>
  <c r="E103" i="18" s="1"/>
  <c r="F103" i="18" s="1"/>
  <c r="G102" i="18"/>
  <c r="E102" i="18"/>
  <c r="F102" i="18" s="1"/>
  <c r="D102" i="18"/>
  <c r="D101" i="18"/>
  <c r="D100" i="18"/>
  <c r="G100" i="18" s="1"/>
  <c r="D99" i="18"/>
  <c r="G99" i="18" s="1"/>
  <c r="G98" i="18"/>
  <c r="D98" i="18"/>
  <c r="E98" i="18" s="1"/>
  <c r="F98" i="18" s="1"/>
  <c r="D97" i="18"/>
  <c r="G97" i="18" s="1"/>
  <c r="G96" i="18"/>
  <c r="E96" i="18"/>
  <c r="F96" i="18" s="1"/>
  <c r="D96" i="18"/>
  <c r="G95" i="18"/>
  <c r="E95" i="18"/>
  <c r="F95" i="18" s="1"/>
  <c r="D95" i="18"/>
  <c r="D94" i="18"/>
  <c r="D93" i="18"/>
  <c r="G93" i="18" s="1"/>
  <c r="E92" i="18"/>
  <c r="F92" i="18" s="1"/>
  <c r="D92" i="18"/>
  <c r="G92" i="18" s="1"/>
  <c r="G91" i="18"/>
  <c r="D91" i="18"/>
  <c r="E91" i="18" s="1"/>
  <c r="F91" i="18" s="1"/>
  <c r="D90" i="18"/>
  <c r="G90" i="18" s="1"/>
  <c r="E89" i="18"/>
  <c r="F89" i="18" s="1"/>
  <c r="D89" i="18"/>
  <c r="G89" i="18" s="1"/>
  <c r="G88" i="18"/>
  <c r="E88" i="18"/>
  <c r="F88" i="18" s="1"/>
  <c r="D88" i="18"/>
  <c r="D87" i="18"/>
  <c r="D86" i="18"/>
  <c r="G86" i="18" s="1"/>
  <c r="G85" i="18"/>
  <c r="D85" i="18"/>
  <c r="E85" i="18" s="1"/>
  <c r="F85" i="18" s="1"/>
  <c r="G84" i="18"/>
  <c r="D84" i="18"/>
  <c r="E84" i="18" s="1"/>
  <c r="F84" i="18" s="1"/>
  <c r="D83" i="18"/>
  <c r="G83" i="18" s="1"/>
  <c r="D82" i="18"/>
  <c r="G81" i="18"/>
  <c r="E81" i="18"/>
  <c r="F81" i="18" s="1"/>
  <c r="D81" i="18"/>
  <c r="D80" i="18"/>
  <c r="D79" i="18"/>
  <c r="G79" i="18" s="1"/>
  <c r="D78" i="18"/>
  <c r="G78" i="18" s="1"/>
  <c r="G77" i="18"/>
  <c r="D77" i="18"/>
  <c r="E77" i="18" s="1"/>
  <c r="F77" i="18" s="1"/>
  <c r="D76" i="18"/>
  <c r="G76" i="18" s="1"/>
  <c r="G75" i="18"/>
  <c r="F75" i="18"/>
  <c r="E75" i="18"/>
  <c r="D75" i="18"/>
  <c r="G74" i="18"/>
  <c r="E74" i="18"/>
  <c r="F74" i="18" s="1"/>
  <c r="D74" i="18"/>
  <c r="D73" i="18"/>
  <c r="D72" i="18"/>
  <c r="G72" i="18" s="1"/>
  <c r="D71" i="18"/>
  <c r="G71" i="18" s="1"/>
  <c r="G70" i="18"/>
  <c r="D70" i="18"/>
  <c r="E70" i="18" s="1"/>
  <c r="F70" i="18" s="1"/>
  <c r="D69" i="18"/>
  <c r="G69" i="18" s="1"/>
  <c r="D68" i="18"/>
  <c r="G68" i="18" s="1"/>
  <c r="G67" i="18"/>
  <c r="E67" i="18"/>
  <c r="F67" i="18" s="1"/>
  <c r="D67" i="18"/>
  <c r="D66" i="18"/>
  <c r="D65" i="18"/>
  <c r="G65" i="18" s="1"/>
  <c r="D64" i="18"/>
  <c r="G64" i="18" s="1"/>
  <c r="G63" i="18"/>
  <c r="D63" i="18"/>
  <c r="E63" i="18" s="1"/>
  <c r="F63" i="18" s="1"/>
  <c r="D62" i="18"/>
  <c r="G62" i="18" s="1"/>
  <c r="E61" i="18"/>
  <c r="F61" i="18" s="1"/>
  <c r="D61" i="18"/>
  <c r="G61" i="18" s="1"/>
  <c r="G60" i="18"/>
  <c r="F60" i="18"/>
  <c r="E60" i="18"/>
  <c r="D60" i="18"/>
  <c r="D59" i="18"/>
  <c r="D58" i="18"/>
  <c r="G58" i="18" s="1"/>
  <c r="D57" i="18"/>
  <c r="G57" i="18" s="1"/>
  <c r="G56" i="18"/>
  <c r="D56" i="18"/>
  <c r="E56" i="18" s="1"/>
  <c r="F56" i="18" s="1"/>
  <c r="D55" i="18"/>
  <c r="G55" i="18" s="1"/>
  <c r="G54" i="18"/>
  <c r="D54" i="18"/>
  <c r="E54" i="18" s="1"/>
  <c r="F54" i="18" s="1"/>
  <c r="G53" i="18"/>
  <c r="F53" i="18"/>
  <c r="E53" i="18"/>
  <c r="D53" i="18"/>
  <c r="D52" i="18"/>
  <c r="D51" i="18"/>
  <c r="G51" i="18" s="1"/>
  <c r="D50" i="18"/>
  <c r="E50" i="18" s="1"/>
  <c r="F50" i="18" s="1"/>
  <c r="G49" i="18"/>
  <c r="D49" i="18"/>
  <c r="E49" i="18" s="1"/>
  <c r="F49" i="18" s="1"/>
  <c r="D48" i="18"/>
  <c r="G48" i="18" s="1"/>
  <c r="D47" i="18"/>
  <c r="G47" i="18" s="1"/>
  <c r="G46" i="18"/>
  <c r="E46" i="18"/>
  <c r="F46" i="18" s="1"/>
  <c r="D46" i="18"/>
  <c r="D45" i="18"/>
  <c r="E44" i="18"/>
  <c r="F44" i="18" s="1"/>
  <c r="D44" i="18"/>
  <c r="D43" i="18"/>
  <c r="G43" i="18" s="1"/>
  <c r="G42" i="18"/>
  <c r="D42" i="18"/>
  <c r="E42" i="18" s="1"/>
  <c r="F42" i="18" s="1"/>
  <c r="D41" i="18"/>
  <c r="G41" i="18" s="1"/>
  <c r="D40" i="18"/>
  <c r="G40" i="18" s="1"/>
  <c r="G39" i="18"/>
  <c r="F39" i="18"/>
  <c r="E39" i="18"/>
  <c r="D39" i="18"/>
  <c r="D38" i="18"/>
  <c r="E37" i="18"/>
  <c r="F37" i="18" s="1"/>
  <c r="D37" i="18"/>
  <c r="G37" i="18" s="1"/>
  <c r="D36" i="18"/>
  <c r="E36" i="18" s="1"/>
  <c r="F36" i="18" s="1"/>
  <c r="G35" i="18"/>
  <c r="D35" i="18"/>
  <c r="E35" i="18" s="1"/>
  <c r="F35" i="18" s="1"/>
  <c r="D34" i="18"/>
  <c r="G34" i="18" s="1"/>
  <c r="D33" i="18"/>
  <c r="G33" i="18" s="1"/>
  <c r="G32" i="18"/>
  <c r="E32" i="18"/>
  <c r="F32" i="18" s="1"/>
  <c r="D32" i="18"/>
  <c r="D31" i="18"/>
  <c r="D30" i="18"/>
  <c r="G29" i="18"/>
  <c r="F29" i="18"/>
  <c r="D29" i="18"/>
  <c r="G28" i="18"/>
  <c r="F28" i="18"/>
  <c r="D28" i="18"/>
  <c r="G27" i="18"/>
  <c r="F27" i="18"/>
  <c r="D27" i="18"/>
  <c r="G26" i="18"/>
  <c r="F26" i="18"/>
  <c r="D26" i="18"/>
  <c r="F25" i="18"/>
  <c r="D25" i="18"/>
  <c r="G25" i="18" s="1"/>
  <c r="G24" i="18"/>
  <c r="F24" i="18"/>
  <c r="D24" i="18"/>
  <c r="G23" i="18"/>
  <c r="F23" i="18"/>
  <c r="D23" i="18"/>
  <c r="F22" i="18"/>
  <c r="D22" i="18"/>
  <c r="G22" i="18" s="1"/>
  <c r="F21" i="18"/>
  <c r="D21" i="18"/>
  <c r="G21" i="18" s="1"/>
  <c r="F20" i="18"/>
  <c r="D20" i="18"/>
  <c r="G20" i="18" s="1"/>
  <c r="F19" i="18"/>
  <c r="D19" i="18"/>
  <c r="G19" i="18" s="1"/>
  <c r="F18" i="18"/>
  <c r="D18" i="18"/>
  <c r="G18" i="18" s="1"/>
  <c r="G17" i="18"/>
  <c r="F17" i="18"/>
  <c r="D17" i="18"/>
  <c r="F16" i="18"/>
  <c r="D16" i="18"/>
  <c r="G16" i="18" s="1"/>
  <c r="F15" i="18"/>
  <c r="D15" i="18"/>
  <c r="G15" i="18" s="1"/>
  <c r="G14" i="18"/>
  <c r="F14" i="18"/>
  <c r="D14" i="18"/>
  <c r="F13" i="18"/>
  <c r="D13" i="18"/>
  <c r="G13" i="18" s="1"/>
  <c r="G12" i="18"/>
  <c r="F12" i="18"/>
  <c r="D12" i="18"/>
  <c r="G11" i="18"/>
  <c r="F11" i="18"/>
  <c r="D11" i="18"/>
  <c r="F10" i="18"/>
  <c r="D10" i="18"/>
  <c r="G10" i="18" s="1"/>
  <c r="G9" i="18"/>
  <c r="F9" i="18"/>
  <c r="D9" i="18"/>
  <c r="F8" i="18"/>
  <c r="D8" i="18"/>
  <c r="G8" i="18" s="1"/>
  <c r="D333" i="23"/>
  <c r="E332" i="23"/>
  <c r="E331" i="23"/>
  <c r="G330" i="23"/>
  <c r="E330" i="23"/>
  <c r="G329" i="23"/>
  <c r="D329" i="23"/>
  <c r="E329" i="23" s="1"/>
  <c r="D328" i="23"/>
  <c r="E328" i="23" s="1"/>
  <c r="D327" i="23"/>
  <c r="D326" i="23"/>
  <c r="G326" i="23" s="1"/>
  <c r="D323" i="23"/>
  <c r="G322" i="23"/>
  <c r="E322" i="23"/>
  <c r="D322" i="23"/>
  <c r="D321" i="23"/>
  <c r="G321" i="23" s="1"/>
  <c r="G320" i="23"/>
  <c r="E320" i="23"/>
  <c r="D320" i="23"/>
  <c r="G319" i="23"/>
  <c r="E319" i="23"/>
  <c r="D319" i="23"/>
  <c r="G318" i="23"/>
  <c r="E318" i="23"/>
  <c r="D318" i="23"/>
  <c r="G317" i="23"/>
  <c r="D317" i="23"/>
  <c r="E317" i="23" s="1"/>
  <c r="D316" i="23"/>
  <c r="G316" i="23" s="1"/>
  <c r="G315" i="23"/>
  <c r="E315" i="23"/>
  <c r="D315" i="23"/>
  <c r="G314" i="23"/>
  <c r="D314" i="23"/>
  <c r="E314" i="23" s="1"/>
  <c r="D313" i="23"/>
  <c r="D312" i="23"/>
  <c r="G311" i="23"/>
  <c r="E311" i="23"/>
  <c r="D311" i="23"/>
  <c r="D310" i="23"/>
  <c r="G310" i="23" s="1"/>
  <c r="D309" i="23"/>
  <c r="G309" i="23" s="1"/>
  <c r="G308" i="23"/>
  <c r="D308" i="23"/>
  <c r="E308" i="23" s="1"/>
  <c r="D307" i="23"/>
  <c r="G306" i="23"/>
  <c r="E306" i="23"/>
  <c r="G305" i="23"/>
  <c r="E305" i="23"/>
  <c r="G304" i="23"/>
  <c r="E304" i="23"/>
  <c r="G303" i="23"/>
  <c r="E303" i="23"/>
  <c r="G302" i="23"/>
  <c r="E302" i="23"/>
  <c r="G301" i="23"/>
  <c r="E301" i="23"/>
  <c r="G299" i="23"/>
  <c r="E299" i="23"/>
  <c r="G298" i="23"/>
  <c r="E298" i="23"/>
  <c r="G297" i="23"/>
  <c r="E297" i="23"/>
  <c r="G296" i="23"/>
  <c r="E296" i="23"/>
  <c r="G295" i="23"/>
  <c r="E295" i="23"/>
  <c r="E294" i="23"/>
  <c r="D294" i="23"/>
  <c r="G294" i="23" s="1"/>
  <c r="C294" i="23"/>
  <c r="G293" i="23"/>
  <c r="E293" i="23"/>
  <c r="G292" i="23"/>
  <c r="E292" i="23"/>
  <c r="D292" i="23"/>
  <c r="G291" i="23"/>
  <c r="E291" i="23"/>
  <c r="D291" i="23"/>
  <c r="G290" i="23"/>
  <c r="D290" i="23"/>
  <c r="E290" i="23" s="1"/>
  <c r="G289" i="23"/>
  <c r="E289" i="23"/>
  <c r="D289" i="23"/>
  <c r="D288" i="23"/>
  <c r="E288" i="23" s="1"/>
  <c r="G287" i="23"/>
  <c r="D287" i="23"/>
  <c r="E287" i="23" s="1"/>
  <c r="D286" i="23"/>
  <c r="E286" i="23" s="1"/>
  <c r="D285" i="23"/>
  <c r="D284" i="23"/>
  <c r="G284" i="23" s="1"/>
  <c r="G283" i="23"/>
  <c r="E283" i="23"/>
  <c r="D283" i="23"/>
  <c r="D282" i="23"/>
  <c r="G281" i="23"/>
  <c r="E281" i="23"/>
  <c r="D281" i="23"/>
  <c r="E280" i="23"/>
  <c r="D280" i="23"/>
  <c r="G280" i="23" s="1"/>
  <c r="G279" i="23"/>
  <c r="E279" i="23"/>
  <c r="D279" i="23"/>
  <c r="G278" i="23"/>
  <c r="E278" i="23"/>
  <c r="D278" i="23"/>
  <c r="C277" i="23"/>
  <c r="D276" i="23"/>
  <c r="D275" i="23"/>
  <c r="G274" i="23"/>
  <c r="F274" i="23"/>
  <c r="E274" i="23"/>
  <c r="D274" i="23"/>
  <c r="C274" i="23"/>
  <c r="F273" i="23"/>
  <c r="E273" i="23"/>
  <c r="G273" i="23" s="1"/>
  <c r="D273" i="23"/>
  <c r="C273" i="23"/>
  <c r="D272" i="23"/>
  <c r="C272" i="23"/>
  <c r="G271" i="23"/>
  <c r="F271" i="23"/>
  <c r="D271" i="23"/>
  <c r="E271" i="23" s="1"/>
  <c r="C271" i="23"/>
  <c r="F270" i="23"/>
  <c r="D270" i="23"/>
  <c r="E270" i="23" s="1"/>
  <c r="G270" i="23" s="1"/>
  <c r="C270" i="23"/>
  <c r="D269" i="23"/>
  <c r="F269" i="23" s="1"/>
  <c r="C269" i="23"/>
  <c r="D268" i="23"/>
  <c r="C268" i="23"/>
  <c r="D267" i="23"/>
  <c r="C267" i="23"/>
  <c r="E266" i="23"/>
  <c r="G266" i="23" s="1"/>
  <c r="D266" i="23"/>
  <c r="F266" i="23" s="1"/>
  <c r="C266" i="23"/>
  <c r="E265" i="23"/>
  <c r="G265" i="23" s="1"/>
  <c r="D265" i="23"/>
  <c r="F265" i="23" s="1"/>
  <c r="C265" i="23"/>
  <c r="D264" i="23"/>
  <c r="F264" i="23" s="1"/>
  <c r="C264" i="23"/>
  <c r="G263" i="23"/>
  <c r="D263" i="23"/>
  <c r="G262" i="23"/>
  <c r="D262" i="23"/>
  <c r="E262" i="23" s="1"/>
  <c r="G261" i="23"/>
  <c r="D261" i="23"/>
  <c r="E261" i="23" s="1"/>
  <c r="D260" i="23"/>
  <c r="D259" i="23"/>
  <c r="E259" i="23" s="1"/>
  <c r="G258" i="23"/>
  <c r="D258" i="23"/>
  <c r="E258" i="23" s="1"/>
  <c r="D257" i="23"/>
  <c r="G256" i="23"/>
  <c r="E256" i="23"/>
  <c r="D256" i="23"/>
  <c r="D255" i="23"/>
  <c r="G255" i="23" s="1"/>
  <c r="D254" i="23"/>
  <c r="G254" i="23" s="1"/>
  <c r="G253" i="23"/>
  <c r="E253" i="23"/>
  <c r="D253" i="23"/>
  <c r="E252" i="23"/>
  <c r="D252" i="23"/>
  <c r="G252" i="23" s="1"/>
  <c r="G251" i="23"/>
  <c r="D251" i="23"/>
  <c r="E251" i="23" s="1"/>
  <c r="D250" i="23"/>
  <c r="G250" i="23" s="1"/>
  <c r="G249" i="23"/>
  <c r="E249" i="23"/>
  <c r="D249" i="23"/>
  <c r="G248" i="23"/>
  <c r="D248" i="23"/>
  <c r="E248" i="23" s="1"/>
  <c r="D247" i="23"/>
  <c r="D246" i="23"/>
  <c r="G245" i="23"/>
  <c r="E245" i="23"/>
  <c r="D245" i="23"/>
  <c r="D244" i="23"/>
  <c r="G244" i="23" s="1"/>
  <c r="D242" i="23"/>
  <c r="G241" i="23"/>
  <c r="E241" i="23"/>
  <c r="D241" i="23"/>
  <c r="D240" i="23"/>
  <c r="G240" i="23" s="1"/>
  <c r="D239" i="23"/>
  <c r="G239" i="23" s="1"/>
  <c r="G238" i="23"/>
  <c r="E238" i="23"/>
  <c r="D238" i="23"/>
  <c r="E237" i="23"/>
  <c r="D237" i="23"/>
  <c r="G237" i="23" s="1"/>
  <c r="G236" i="23"/>
  <c r="D236" i="23"/>
  <c r="E236" i="23" s="1"/>
  <c r="D235" i="23"/>
  <c r="G235" i="23" s="1"/>
  <c r="D234" i="23"/>
  <c r="G234" i="23" s="1"/>
  <c r="G233" i="23"/>
  <c r="D233" i="23"/>
  <c r="E233" i="23" s="1"/>
  <c r="D232" i="23"/>
  <c r="E232" i="23" s="1"/>
  <c r="D231" i="23"/>
  <c r="E230" i="23"/>
  <c r="D230" i="23"/>
  <c r="G230" i="23" s="1"/>
  <c r="D229" i="23"/>
  <c r="E229" i="23" s="1"/>
  <c r="D228" i="23"/>
  <c r="G227" i="23"/>
  <c r="E227" i="23"/>
  <c r="D227" i="23"/>
  <c r="E226" i="23"/>
  <c r="D226" i="23"/>
  <c r="G226" i="23" s="1"/>
  <c r="D225" i="23"/>
  <c r="G225" i="23" s="1"/>
  <c r="G224" i="23"/>
  <c r="E224" i="23"/>
  <c r="D224" i="23"/>
  <c r="D223" i="23"/>
  <c r="G223" i="23" s="1"/>
  <c r="G222" i="23"/>
  <c r="D222" i="23"/>
  <c r="E222" i="23" s="1"/>
  <c r="D221" i="23"/>
  <c r="E221" i="23" s="1"/>
  <c r="E220" i="23"/>
  <c r="D220" i="23"/>
  <c r="G220" i="23" s="1"/>
  <c r="G219" i="23"/>
  <c r="D219" i="23"/>
  <c r="E219" i="23" s="1"/>
  <c r="D218" i="23"/>
  <c r="G218" i="23" s="1"/>
  <c r="D217" i="23"/>
  <c r="D216" i="23"/>
  <c r="G216" i="23" s="1"/>
  <c r="G215" i="23"/>
  <c r="E215" i="23"/>
  <c r="D215" i="23"/>
  <c r="D214" i="23"/>
  <c r="G213" i="23"/>
  <c r="G242" i="23" s="1"/>
  <c r="E213" i="23"/>
  <c r="E242" i="23" s="1"/>
  <c r="D213" i="23"/>
  <c r="D210" i="23"/>
  <c r="G210" i="23" s="1"/>
  <c r="G209" i="23"/>
  <c r="E209" i="23"/>
  <c r="D209" i="23"/>
  <c r="E208" i="23"/>
  <c r="D208" i="23"/>
  <c r="G208" i="23" s="1"/>
  <c r="G207" i="23"/>
  <c r="D207" i="23"/>
  <c r="E207" i="23" s="1"/>
  <c r="E206" i="23"/>
  <c r="D206" i="23"/>
  <c r="G206" i="23" s="1"/>
  <c r="D205" i="23"/>
  <c r="E205" i="23" s="1"/>
  <c r="G204" i="23"/>
  <c r="D204" i="23"/>
  <c r="E204" i="23" s="1"/>
  <c r="G203" i="23"/>
  <c r="E203" i="23"/>
  <c r="D203" i="23"/>
  <c r="D202" i="23"/>
  <c r="G202" i="23" s="1"/>
  <c r="D201" i="23"/>
  <c r="G201" i="23" s="1"/>
  <c r="D200" i="23"/>
  <c r="G200" i="23" s="1"/>
  <c r="D199" i="23"/>
  <c r="G199" i="23" s="1"/>
  <c r="D198" i="23"/>
  <c r="G198" i="23" s="1"/>
  <c r="G197" i="23"/>
  <c r="D197" i="23"/>
  <c r="E197" i="23" s="1"/>
  <c r="D196" i="23"/>
  <c r="G196" i="23" s="1"/>
  <c r="G195" i="23"/>
  <c r="E195" i="23"/>
  <c r="D195" i="23"/>
  <c r="D194" i="23"/>
  <c r="D193" i="23"/>
  <c r="G193" i="23" s="1"/>
  <c r="E192" i="23"/>
  <c r="D192" i="23"/>
  <c r="G192" i="23" s="1"/>
  <c r="E191" i="23"/>
  <c r="D191" i="23"/>
  <c r="G191" i="23" s="1"/>
  <c r="D190" i="23"/>
  <c r="E190" i="23" s="1"/>
  <c r="D189" i="23"/>
  <c r="D188" i="23"/>
  <c r="E188" i="23" s="1"/>
  <c r="E187" i="23"/>
  <c r="D187" i="23"/>
  <c r="G187" i="23" s="1"/>
  <c r="E186" i="23"/>
  <c r="D186" i="23"/>
  <c r="G186" i="23" s="1"/>
  <c r="D185" i="23"/>
  <c r="G185" i="23" s="1"/>
  <c r="D184" i="23"/>
  <c r="D183" i="23"/>
  <c r="G183" i="23" s="1"/>
  <c r="E182" i="23"/>
  <c r="D182" i="23"/>
  <c r="G182" i="23" s="1"/>
  <c r="G181" i="23"/>
  <c r="E181" i="23"/>
  <c r="D181" i="23"/>
  <c r="D180" i="23"/>
  <c r="E180" i="23" s="1"/>
  <c r="D179" i="23"/>
  <c r="G179" i="23" s="1"/>
  <c r="G178" i="23"/>
  <c r="E178" i="23"/>
  <c r="D178" i="23"/>
  <c r="D177" i="23"/>
  <c r="G177" i="23" s="1"/>
  <c r="G176" i="23"/>
  <c r="D176" i="23"/>
  <c r="E176" i="23" s="1"/>
  <c r="D175" i="23"/>
  <c r="G175" i="23" s="1"/>
  <c r="D174" i="23"/>
  <c r="G174" i="23" s="1"/>
  <c r="G173" i="23"/>
  <c r="E173" i="23"/>
  <c r="D173" i="23"/>
  <c r="D172" i="23"/>
  <c r="G172" i="23" s="1"/>
  <c r="E171" i="23"/>
  <c r="D171" i="23"/>
  <c r="G171" i="23" s="1"/>
  <c r="D170" i="23"/>
  <c r="E170" i="23" s="1"/>
  <c r="D169" i="23"/>
  <c r="G169" i="23" s="1"/>
  <c r="G168" i="23"/>
  <c r="E168" i="23"/>
  <c r="D168" i="23"/>
  <c r="G167" i="23"/>
  <c r="E167" i="23"/>
  <c r="D167" i="23"/>
  <c r="G166" i="23"/>
  <c r="D166" i="23"/>
  <c r="E166" i="23" s="1"/>
  <c r="D165" i="23"/>
  <c r="E165" i="23" s="1"/>
  <c r="D164" i="23"/>
  <c r="G164" i="23" s="1"/>
  <c r="G163" i="23"/>
  <c r="D163" i="23"/>
  <c r="E163" i="23" s="1"/>
  <c r="D162" i="23"/>
  <c r="E162" i="23" s="1"/>
  <c r="G161" i="23"/>
  <c r="D161" i="23"/>
  <c r="E161" i="23" s="1"/>
  <c r="D160" i="23"/>
  <c r="E160" i="23" s="1"/>
  <c r="D159" i="23"/>
  <c r="G159" i="23" s="1"/>
  <c r="G158" i="23"/>
  <c r="D158" i="23"/>
  <c r="E158" i="23" s="1"/>
  <c r="D157" i="23"/>
  <c r="G157" i="23" s="1"/>
  <c r="G156" i="23"/>
  <c r="D156" i="23"/>
  <c r="E156" i="23" s="1"/>
  <c r="D155" i="23"/>
  <c r="G155" i="23" s="1"/>
  <c r="D154" i="23"/>
  <c r="G154" i="23" s="1"/>
  <c r="G153" i="23"/>
  <c r="E153" i="23"/>
  <c r="D153" i="23"/>
  <c r="D152" i="23"/>
  <c r="G152" i="23" s="1"/>
  <c r="D151" i="23"/>
  <c r="G151" i="23" s="1"/>
  <c r="D150" i="23"/>
  <c r="D149" i="23"/>
  <c r="G149" i="23" s="1"/>
  <c r="D148" i="23"/>
  <c r="E148" i="23" s="1"/>
  <c r="D147" i="23"/>
  <c r="G147" i="23" s="1"/>
  <c r="D146" i="23"/>
  <c r="G146" i="23" s="1"/>
  <c r="D145" i="23"/>
  <c r="D144" i="23"/>
  <c r="G144" i="23" s="1"/>
  <c r="D143" i="23"/>
  <c r="G143" i="23" s="1"/>
  <c r="D142" i="23"/>
  <c r="G142" i="23" s="1"/>
  <c r="D141" i="23"/>
  <c r="G141" i="23" s="1"/>
  <c r="D140" i="23"/>
  <c r="G139" i="23"/>
  <c r="E139" i="23"/>
  <c r="D139" i="23"/>
  <c r="E138" i="23"/>
  <c r="D138" i="23"/>
  <c r="G138" i="23" s="1"/>
  <c r="E137" i="23"/>
  <c r="D137" i="23"/>
  <c r="G137" i="23" s="1"/>
  <c r="D136" i="23"/>
  <c r="G136" i="23" s="1"/>
  <c r="D135" i="23"/>
  <c r="G135" i="23" s="1"/>
  <c r="D134" i="23"/>
  <c r="E134" i="23" s="1"/>
  <c r="E133" i="23"/>
  <c r="D133" i="23"/>
  <c r="G133" i="23" s="1"/>
  <c r="E132" i="23"/>
  <c r="D132" i="23"/>
  <c r="G132" i="23" s="1"/>
  <c r="D131" i="23"/>
  <c r="E131" i="23" s="1"/>
  <c r="E130" i="23"/>
  <c r="D130" i="23"/>
  <c r="G130" i="23" s="1"/>
  <c r="D129" i="23"/>
  <c r="G129" i="23" s="1"/>
  <c r="D128" i="23"/>
  <c r="G128" i="23" s="1"/>
  <c r="E127" i="23"/>
  <c r="D127" i="23"/>
  <c r="G127" i="23" s="1"/>
  <c r="D126" i="23"/>
  <c r="G126" i="23" s="1"/>
  <c r="G125" i="23"/>
  <c r="E125" i="23"/>
  <c r="D125" i="23"/>
  <c r="G124" i="23"/>
  <c r="E124" i="23"/>
  <c r="D124" i="23"/>
  <c r="D123" i="23"/>
  <c r="G123" i="23" s="1"/>
  <c r="G122" i="23"/>
  <c r="D122" i="23"/>
  <c r="E122" i="23" s="1"/>
  <c r="D121" i="23"/>
  <c r="E121" i="23" s="1"/>
  <c r="D120" i="23"/>
  <c r="E120" i="23" s="1"/>
  <c r="G119" i="23"/>
  <c r="E119" i="23"/>
  <c r="D119" i="23"/>
  <c r="D118" i="23"/>
  <c r="G118" i="23" s="1"/>
  <c r="G117" i="23"/>
  <c r="D117" i="23"/>
  <c r="E117" i="23" s="1"/>
  <c r="D116" i="23"/>
  <c r="E116" i="23" s="1"/>
  <c r="D115" i="23"/>
  <c r="G115" i="23" s="1"/>
  <c r="G114" i="23"/>
  <c r="E114" i="23"/>
  <c r="D114" i="23"/>
  <c r="D113" i="23"/>
  <c r="G113" i="23" s="1"/>
  <c r="G112" i="23"/>
  <c r="D112" i="23"/>
  <c r="E112" i="23" s="1"/>
  <c r="G111" i="23"/>
  <c r="E111" i="23"/>
  <c r="D111" i="23"/>
  <c r="G110" i="23"/>
  <c r="D110" i="23"/>
  <c r="E110" i="23" s="1"/>
  <c r="G109" i="23"/>
  <c r="D109" i="23"/>
  <c r="E109" i="23" s="1"/>
  <c r="D108" i="23"/>
  <c r="G108" i="23" s="1"/>
  <c r="D107" i="23"/>
  <c r="G107" i="23" s="1"/>
  <c r="D106" i="23"/>
  <c r="E106" i="23" s="1"/>
  <c r="D105" i="23"/>
  <c r="G105" i="23" s="1"/>
  <c r="G104" i="23"/>
  <c r="D104" i="23"/>
  <c r="E104" i="23" s="1"/>
  <c r="D103" i="23"/>
  <c r="G103" i="23" s="1"/>
  <c r="D102" i="23"/>
  <c r="G102" i="23" s="1"/>
  <c r="D101" i="23"/>
  <c r="G101" i="23" s="1"/>
  <c r="D100" i="23"/>
  <c r="G100" i="23" s="1"/>
  <c r="G99" i="23"/>
  <c r="D99" i="23"/>
  <c r="E99" i="23" s="1"/>
  <c r="D98" i="23"/>
  <c r="G98" i="23" s="1"/>
  <c r="G97" i="23"/>
  <c r="E97" i="23"/>
  <c r="D97" i="23"/>
  <c r="D96" i="23"/>
  <c r="G95" i="23"/>
  <c r="E95" i="23"/>
  <c r="D95" i="23"/>
  <c r="D94" i="23"/>
  <c r="G94" i="23" s="1"/>
  <c r="E93" i="23"/>
  <c r="D93" i="23"/>
  <c r="G93" i="23" s="1"/>
  <c r="D92" i="23"/>
  <c r="E92" i="23" s="1"/>
  <c r="D91" i="23"/>
  <c r="D90" i="23"/>
  <c r="G90" i="23" s="1"/>
  <c r="D89" i="23"/>
  <c r="G89" i="23" s="1"/>
  <c r="E88" i="23"/>
  <c r="D88" i="23"/>
  <c r="G88" i="23" s="1"/>
  <c r="D87" i="23"/>
  <c r="G87" i="23" s="1"/>
  <c r="D86" i="23"/>
  <c r="G85" i="23"/>
  <c r="D85" i="23"/>
  <c r="E85" i="23" s="1"/>
  <c r="D84" i="23"/>
  <c r="G84" i="23" s="1"/>
  <c r="G83" i="23"/>
  <c r="E83" i="23"/>
  <c r="D83" i="23"/>
  <c r="D82" i="23"/>
  <c r="E82" i="23" s="1"/>
  <c r="D81" i="23"/>
  <c r="G81" i="23" s="1"/>
  <c r="G80" i="23"/>
  <c r="E80" i="23"/>
  <c r="D80" i="23"/>
  <c r="D79" i="23"/>
  <c r="G79" i="23" s="1"/>
  <c r="G78" i="23"/>
  <c r="D78" i="23"/>
  <c r="E78" i="23" s="1"/>
  <c r="D77" i="23"/>
  <c r="G77" i="23" s="1"/>
  <c r="G76" i="23"/>
  <c r="E76" i="23"/>
  <c r="D76" i="23"/>
  <c r="G75" i="23"/>
  <c r="E75" i="23"/>
  <c r="D75" i="23"/>
  <c r="D74" i="23"/>
  <c r="G74" i="23" s="1"/>
  <c r="E73" i="23"/>
  <c r="D73" i="23"/>
  <c r="G73" i="23" s="1"/>
  <c r="D72" i="23"/>
  <c r="E72" i="23" s="1"/>
  <c r="E71" i="23"/>
  <c r="D71" i="23"/>
  <c r="G71" i="23" s="1"/>
  <c r="G70" i="23"/>
  <c r="E70" i="23"/>
  <c r="D70" i="23"/>
  <c r="G69" i="23"/>
  <c r="E69" i="23"/>
  <c r="D69" i="23"/>
  <c r="G68" i="23"/>
  <c r="E68" i="23"/>
  <c r="D68" i="23"/>
  <c r="D67" i="23"/>
  <c r="D66" i="23"/>
  <c r="E66" i="23" s="1"/>
  <c r="G65" i="23"/>
  <c r="D65" i="23"/>
  <c r="E65" i="23" s="1"/>
  <c r="D64" i="23"/>
  <c r="E64" i="23" s="1"/>
  <c r="G63" i="23"/>
  <c r="E63" i="23"/>
  <c r="D63" i="23"/>
  <c r="D62" i="23"/>
  <c r="D61" i="23"/>
  <c r="G61" i="23" s="1"/>
  <c r="G60" i="23"/>
  <c r="D60" i="23"/>
  <c r="E60" i="23" s="1"/>
  <c r="D59" i="23"/>
  <c r="G59" i="23" s="1"/>
  <c r="G58" i="23"/>
  <c r="E58" i="23"/>
  <c r="D58" i="23"/>
  <c r="D57" i="23"/>
  <c r="G56" i="23"/>
  <c r="E56" i="23"/>
  <c r="D56" i="23"/>
  <c r="G55" i="23"/>
  <c r="E55" i="23"/>
  <c r="D55" i="23"/>
  <c r="D54" i="23"/>
  <c r="G54" i="23" s="1"/>
  <c r="D53" i="23"/>
  <c r="G53" i="23" s="1"/>
  <c r="D52" i="23"/>
  <c r="G52" i="23" s="1"/>
  <c r="G51" i="23"/>
  <c r="E51" i="23"/>
  <c r="D51" i="23"/>
  <c r="D50" i="23"/>
  <c r="E50" i="23" s="1"/>
  <c r="D49" i="23"/>
  <c r="G49" i="23" s="1"/>
  <c r="D48" i="23"/>
  <c r="G48" i="23" s="1"/>
  <c r="D47" i="23"/>
  <c r="G47" i="23" s="1"/>
  <c r="D46" i="23"/>
  <c r="E46" i="23" s="1"/>
  <c r="D45" i="23"/>
  <c r="G45" i="23" s="1"/>
  <c r="D44" i="23"/>
  <c r="G44" i="23" s="1"/>
  <c r="D43" i="23"/>
  <c r="G43" i="23" s="1"/>
  <c r="E42" i="23"/>
  <c r="D42" i="23"/>
  <c r="G42" i="23" s="1"/>
  <c r="G41" i="23"/>
  <c r="E41" i="23"/>
  <c r="D41" i="23"/>
  <c r="D40" i="23"/>
  <c r="G40" i="23" s="1"/>
  <c r="E39" i="23"/>
  <c r="D39" i="23"/>
  <c r="G39" i="23" s="1"/>
  <c r="D38" i="23"/>
  <c r="E38" i="23" s="1"/>
  <c r="D37" i="23"/>
  <c r="E37" i="23" s="1"/>
  <c r="D36" i="23"/>
  <c r="E36" i="23" s="1"/>
  <c r="D35" i="23"/>
  <c r="G35" i="23" s="1"/>
  <c r="E34" i="23"/>
  <c r="D34" i="23"/>
  <c r="G34" i="23" s="1"/>
  <c r="D33" i="23"/>
  <c r="E33" i="23" s="1"/>
  <c r="G32" i="23"/>
  <c r="E32" i="23"/>
  <c r="D32" i="23"/>
  <c r="D31" i="23"/>
  <c r="G31" i="23" s="1"/>
  <c r="D30" i="23"/>
  <c r="G30" i="23" s="1"/>
  <c r="F29" i="23"/>
  <c r="D29" i="23"/>
  <c r="G29" i="23" s="1"/>
  <c r="F28" i="23"/>
  <c r="D28" i="23"/>
  <c r="G28" i="23" s="1"/>
  <c r="G27" i="23"/>
  <c r="F27" i="23"/>
  <c r="D27" i="23"/>
  <c r="G26" i="23"/>
  <c r="F26" i="23"/>
  <c r="D26" i="23"/>
  <c r="F25" i="23"/>
  <c r="D25" i="23"/>
  <c r="G25" i="23" s="1"/>
  <c r="G24" i="23"/>
  <c r="F24" i="23"/>
  <c r="D24" i="23"/>
  <c r="F23" i="23"/>
  <c r="D23" i="23"/>
  <c r="G23" i="23" s="1"/>
  <c r="G22" i="23"/>
  <c r="F22" i="23"/>
  <c r="D22" i="23"/>
  <c r="G21" i="23"/>
  <c r="F21" i="23"/>
  <c r="D21" i="23"/>
  <c r="F20" i="23"/>
  <c r="D20" i="23"/>
  <c r="G20" i="23" s="1"/>
  <c r="F19" i="23"/>
  <c r="D19" i="23"/>
  <c r="G19" i="23" s="1"/>
  <c r="F18" i="23"/>
  <c r="D18" i="23"/>
  <c r="G18" i="23" s="1"/>
  <c r="F17" i="23"/>
  <c r="D17" i="23"/>
  <c r="G17" i="23" s="1"/>
  <c r="G16" i="23"/>
  <c r="F16" i="23"/>
  <c r="D16" i="23"/>
  <c r="F15" i="23"/>
  <c r="D15" i="23"/>
  <c r="G15" i="23" s="1"/>
  <c r="F14" i="23"/>
  <c r="D14" i="23"/>
  <c r="G14" i="23" s="1"/>
  <c r="G13" i="23"/>
  <c r="F13" i="23"/>
  <c r="D13" i="23"/>
  <c r="F12" i="23"/>
  <c r="D12" i="23"/>
  <c r="G12" i="23" s="1"/>
  <c r="F11" i="23"/>
  <c r="D11" i="23"/>
  <c r="G11" i="23" s="1"/>
  <c r="F10" i="23"/>
  <c r="D10" i="23"/>
  <c r="G10" i="23" s="1"/>
  <c r="F9" i="23"/>
  <c r="D9" i="23"/>
  <c r="G9" i="23" s="1"/>
  <c r="G8" i="23"/>
  <c r="F8" i="23"/>
  <c r="D8" i="23"/>
  <c r="D7" i="23" s="1"/>
  <c r="G7" i="23"/>
  <c r="E7" i="23"/>
  <c r="E211" i="23" s="1"/>
  <c r="D333" i="24"/>
  <c r="D339" i="24" s="1"/>
  <c r="E339" i="24" s="1"/>
  <c r="E332" i="24"/>
  <c r="E331" i="24"/>
  <c r="E330" i="24"/>
  <c r="D329" i="24"/>
  <c r="E329" i="24" s="1"/>
  <c r="D328" i="24"/>
  <c r="E328" i="24" s="1"/>
  <c r="D327" i="24"/>
  <c r="E327" i="24" s="1"/>
  <c r="D326" i="24"/>
  <c r="E326" i="24" s="1"/>
  <c r="D323" i="24"/>
  <c r="E323" i="24" s="1"/>
  <c r="F323" i="24" s="1"/>
  <c r="D322" i="24"/>
  <c r="E322" i="24" s="1"/>
  <c r="F322" i="24" s="1"/>
  <c r="D321" i="24"/>
  <c r="E321" i="24" s="1"/>
  <c r="F321" i="24" s="1"/>
  <c r="D320" i="24"/>
  <c r="E320" i="24" s="1"/>
  <c r="F320" i="24" s="1"/>
  <c r="D319" i="24"/>
  <c r="E319" i="24" s="1"/>
  <c r="F319" i="24" s="1"/>
  <c r="F318" i="24"/>
  <c r="E318" i="24"/>
  <c r="D318" i="24"/>
  <c r="D317" i="24"/>
  <c r="E317" i="24" s="1"/>
  <c r="F317" i="24" s="1"/>
  <c r="D316" i="24"/>
  <c r="E316" i="24" s="1"/>
  <c r="F316" i="24" s="1"/>
  <c r="E315" i="24"/>
  <c r="F315" i="24" s="1"/>
  <c r="D315" i="24"/>
  <c r="D314" i="24"/>
  <c r="E314" i="24" s="1"/>
  <c r="F314" i="24" s="1"/>
  <c r="D313" i="24"/>
  <c r="E313" i="24" s="1"/>
  <c r="F313" i="24" s="1"/>
  <c r="D312" i="24"/>
  <c r="E312" i="24" s="1"/>
  <c r="F312" i="24" s="1"/>
  <c r="E311" i="24"/>
  <c r="F311" i="24" s="1"/>
  <c r="D311" i="24"/>
  <c r="E310" i="24"/>
  <c r="D310" i="24"/>
  <c r="D309" i="24"/>
  <c r="E308" i="24"/>
  <c r="D308" i="24"/>
  <c r="D307" i="24"/>
  <c r="D324" i="24" s="1"/>
  <c r="F306" i="24"/>
  <c r="E306" i="24"/>
  <c r="E305" i="24"/>
  <c r="F305" i="24" s="1"/>
  <c r="E304" i="24"/>
  <c r="F304" i="24" s="1"/>
  <c r="E303" i="24"/>
  <c r="F303" i="24" s="1"/>
  <c r="E302" i="24"/>
  <c r="F302" i="24" s="1"/>
  <c r="E301" i="24"/>
  <c r="F301" i="24" s="1"/>
  <c r="E299" i="24"/>
  <c r="F299" i="24" s="1"/>
  <c r="E298" i="24"/>
  <c r="F298" i="24" s="1"/>
  <c r="F297" i="24"/>
  <c r="E297" i="24"/>
  <c r="E296" i="24"/>
  <c r="F296" i="24" s="1"/>
  <c r="E295" i="24"/>
  <c r="F295" i="24" s="1"/>
  <c r="D294" i="24"/>
  <c r="E294" i="24" s="1"/>
  <c r="F294" i="24" s="1"/>
  <c r="C294" i="24"/>
  <c r="F293" i="24"/>
  <c r="E293" i="24"/>
  <c r="D292" i="24"/>
  <c r="E292" i="24" s="1"/>
  <c r="F292" i="24" s="1"/>
  <c r="F291" i="24"/>
  <c r="D291" i="24"/>
  <c r="E291" i="24" s="1"/>
  <c r="D290" i="24"/>
  <c r="E290" i="24" s="1"/>
  <c r="F290" i="24" s="1"/>
  <c r="D289" i="24"/>
  <c r="E289" i="24" s="1"/>
  <c r="F289" i="24" s="1"/>
  <c r="E288" i="24"/>
  <c r="F288" i="24" s="1"/>
  <c r="D288" i="24"/>
  <c r="D287" i="24"/>
  <c r="E287" i="24" s="1"/>
  <c r="F287" i="24" s="1"/>
  <c r="E286" i="24"/>
  <c r="F286" i="24" s="1"/>
  <c r="D286" i="24"/>
  <c r="D285" i="24"/>
  <c r="E285" i="24" s="1"/>
  <c r="F285" i="24" s="1"/>
  <c r="E284" i="24"/>
  <c r="F284" i="24" s="1"/>
  <c r="D284" i="24"/>
  <c r="E283" i="24"/>
  <c r="F283" i="24" s="1"/>
  <c r="D283" i="24"/>
  <c r="E282" i="24"/>
  <c r="F282" i="24" s="1"/>
  <c r="D282" i="24"/>
  <c r="D281" i="24"/>
  <c r="E281" i="24" s="1"/>
  <c r="F281" i="24" s="1"/>
  <c r="D280" i="24"/>
  <c r="E280" i="24" s="1"/>
  <c r="F280" i="24" s="1"/>
  <c r="F279" i="24"/>
  <c r="E279" i="24"/>
  <c r="D279" i="24"/>
  <c r="D278" i="24"/>
  <c r="E278" i="24" s="1"/>
  <c r="F278" i="24" s="1"/>
  <c r="C277" i="24"/>
  <c r="D276" i="24"/>
  <c r="E276" i="24" s="1"/>
  <c r="F276" i="24" s="1"/>
  <c r="D275" i="24"/>
  <c r="E275" i="24" s="1"/>
  <c r="D274" i="24"/>
  <c r="E274" i="24" s="1"/>
  <c r="C274" i="24"/>
  <c r="F273" i="24"/>
  <c r="E273" i="24"/>
  <c r="D273" i="24"/>
  <c r="C273" i="24"/>
  <c r="F272" i="24"/>
  <c r="E272" i="24"/>
  <c r="D272" i="24"/>
  <c r="C272" i="24"/>
  <c r="D271" i="24"/>
  <c r="F271" i="24" s="1"/>
  <c r="C271" i="24"/>
  <c r="F270" i="24"/>
  <c r="E270" i="24"/>
  <c r="D270" i="24"/>
  <c r="C270" i="24"/>
  <c r="D269" i="24"/>
  <c r="F269" i="24" s="1"/>
  <c r="C269" i="24"/>
  <c r="D268" i="24"/>
  <c r="F268" i="24" s="1"/>
  <c r="C268" i="24"/>
  <c r="D267" i="24"/>
  <c r="F267" i="24" s="1"/>
  <c r="C267" i="24"/>
  <c r="F266" i="24"/>
  <c r="E266" i="24"/>
  <c r="D266" i="24"/>
  <c r="C266" i="24"/>
  <c r="E265" i="24"/>
  <c r="D265" i="24"/>
  <c r="F265" i="24" s="1"/>
  <c r="C265" i="24"/>
  <c r="D264" i="24"/>
  <c r="C264" i="24"/>
  <c r="D263" i="24"/>
  <c r="E262" i="24"/>
  <c r="D262" i="24"/>
  <c r="E261" i="24"/>
  <c r="D261" i="24"/>
  <c r="F261" i="24" s="1"/>
  <c r="E260" i="24"/>
  <c r="D260" i="24"/>
  <c r="F260" i="24" s="1"/>
  <c r="D259" i="24"/>
  <c r="E259" i="24" s="1"/>
  <c r="D258" i="24"/>
  <c r="F258" i="24" s="1"/>
  <c r="F257" i="24"/>
  <c r="E257" i="24"/>
  <c r="D257" i="24"/>
  <c r="D256" i="24"/>
  <c r="F256" i="24" s="1"/>
  <c r="F255" i="24"/>
  <c r="E255" i="24"/>
  <c r="D255" i="24"/>
  <c r="D254" i="24"/>
  <c r="D253" i="24"/>
  <c r="E253" i="24" s="1"/>
  <c r="F252" i="24"/>
  <c r="D252" i="24"/>
  <c r="E252" i="24" s="1"/>
  <c r="D251" i="24"/>
  <c r="F251" i="24" s="1"/>
  <c r="F250" i="24"/>
  <c r="E250" i="24"/>
  <c r="D250" i="24"/>
  <c r="D249" i="24"/>
  <c r="F248" i="24"/>
  <c r="E248" i="24"/>
  <c r="D248" i="24"/>
  <c r="E247" i="24"/>
  <c r="D247" i="24"/>
  <c r="F247" i="24" s="1"/>
  <c r="D246" i="24"/>
  <c r="F246" i="24" s="1"/>
  <c r="F245" i="24"/>
  <c r="E245" i="24"/>
  <c r="D245" i="24"/>
  <c r="D244" i="24"/>
  <c r="E244" i="24" s="1"/>
  <c r="D242" i="24"/>
  <c r="D241" i="24"/>
  <c r="E241" i="24" s="1"/>
  <c r="F241" i="24" s="1"/>
  <c r="F240" i="24"/>
  <c r="E240" i="24"/>
  <c r="D240" i="24"/>
  <c r="D239" i="24"/>
  <c r="E239" i="24" s="1"/>
  <c r="F239" i="24" s="1"/>
  <c r="D238" i="24"/>
  <c r="E238" i="24" s="1"/>
  <c r="F238" i="24" s="1"/>
  <c r="D237" i="24"/>
  <c r="E237" i="24" s="1"/>
  <c r="F237" i="24" s="1"/>
  <c r="D236" i="24"/>
  <c r="E236" i="24" s="1"/>
  <c r="F236" i="24" s="1"/>
  <c r="F235" i="24"/>
  <c r="E235" i="24"/>
  <c r="D235" i="24"/>
  <c r="D234" i="24"/>
  <c r="E234" i="24" s="1"/>
  <c r="F234" i="24" s="1"/>
  <c r="D233" i="24"/>
  <c r="E233" i="24" s="1"/>
  <c r="F233" i="24" s="1"/>
  <c r="E232" i="24"/>
  <c r="F232" i="24" s="1"/>
  <c r="D232" i="24"/>
  <c r="D231" i="24"/>
  <c r="E231" i="24" s="1"/>
  <c r="F231" i="24" s="1"/>
  <c r="D230" i="24"/>
  <c r="E230" i="24" s="1"/>
  <c r="F230" i="24" s="1"/>
  <c r="E229" i="24"/>
  <c r="F229" i="24" s="1"/>
  <c r="D229" i="24"/>
  <c r="D228" i="24"/>
  <c r="E228" i="24" s="1"/>
  <c r="F228" i="24" s="1"/>
  <c r="D227" i="24"/>
  <c r="E227" i="24" s="1"/>
  <c r="F227" i="24" s="1"/>
  <c r="D226" i="24"/>
  <c r="E226" i="24" s="1"/>
  <c r="F226" i="24" s="1"/>
  <c r="D225" i="24"/>
  <c r="E225" i="24" s="1"/>
  <c r="F225" i="24" s="1"/>
  <c r="E224" i="24"/>
  <c r="F224" i="24" s="1"/>
  <c r="D224" i="24"/>
  <c r="D223" i="24"/>
  <c r="E223" i="24" s="1"/>
  <c r="F223" i="24" s="1"/>
  <c r="D222" i="24"/>
  <c r="E222" i="24" s="1"/>
  <c r="F222" i="24" s="1"/>
  <c r="D221" i="24"/>
  <c r="E221" i="24" s="1"/>
  <c r="F221" i="24" s="1"/>
  <c r="D220" i="24"/>
  <c r="E220" i="24" s="1"/>
  <c r="F220" i="24" s="1"/>
  <c r="E219" i="24"/>
  <c r="F219" i="24" s="1"/>
  <c r="D219" i="24"/>
  <c r="E218" i="24"/>
  <c r="F218" i="24" s="1"/>
  <c r="D218" i="24"/>
  <c r="E217" i="24"/>
  <c r="F217" i="24" s="1"/>
  <c r="D217" i="24"/>
  <c r="E216" i="24"/>
  <c r="F216" i="24" s="1"/>
  <c r="D216" i="24"/>
  <c r="E215" i="24"/>
  <c r="F215" i="24" s="1"/>
  <c r="D215" i="24"/>
  <c r="E214" i="24"/>
  <c r="D214" i="24"/>
  <c r="D213" i="24"/>
  <c r="E213" i="24" s="1"/>
  <c r="E242" i="24" s="1"/>
  <c r="E210" i="24"/>
  <c r="D210" i="24"/>
  <c r="D209" i="24"/>
  <c r="E209" i="24" s="1"/>
  <c r="E208" i="24"/>
  <c r="D208" i="24"/>
  <c r="D207" i="24"/>
  <c r="E207" i="24" s="1"/>
  <c r="D206" i="24"/>
  <c r="E206" i="24" s="1"/>
  <c r="D205" i="24"/>
  <c r="E205" i="24" s="1"/>
  <c r="D204" i="24"/>
  <c r="E204" i="24" s="1"/>
  <c r="D203" i="24"/>
  <c r="E203" i="24" s="1"/>
  <c r="D202" i="24"/>
  <c r="E202" i="24" s="1"/>
  <c r="E201" i="24"/>
  <c r="D201" i="24"/>
  <c r="D200" i="24"/>
  <c r="E200" i="24" s="1"/>
  <c r="E199" i="24"/>
  <c r="D199" i="24"/>
  <c r="E198" i="24"/>
  <c r="D198" i="24"/>
  <c r="D197" i="24"/>
  <c r="E197" i="24" s="1"/>
  <c r="D196" i="24"/>
  <c r="E196" i="24" s="1"/>
  <c r="D195" i="24"/>
  <c r="E195" i="24" s="1"/>
  <c r="D194" i="24"/>
  <c r="E194" i="24" s="1"/>
  <c r="E193" i="24"/>
  <c r="D193" i="24"/>
  <c r="D192" i="24"/>
  <c r="E192" i="24" s="1"/>
  <c r="D191" i="24"/>
  <c r="E191" i="24" s="1"/>
  <c r="D190" i="24"/>
  <c r="E190" i="24" s="1"/>
  <c r="D189" i="24"/>
  <c r="E189" i="24" s="1"/>
  <c r="D188" i="24"/>
  <c r="E188" i="24" s="1"/>
  <c r="D187" i="24"/>
  <c r="E187" i="24" s="1"/>
  <c r="D186" i="24"/>
  <c r="E186" i="24" s="1"/>
  <c r="D185" i="24"/>
  <c r="E185" i="24" s="1"/>
  <c r="E184" i="24"/>
  <c r="D184" i="24"/>
  <c r="D183" i="24"/>
  <c r="E183" i="24" s="1"/>
  <c r="E182" i="24"/>
  <c r="D182" i="24"/>
  <c r="D181" i="24"/>
  <c r="E181" i="24" s="1"/>
  <c r="D180" i="24"/>
  <c r="E180" i="24" s="1"/>
  <c r="E179" i="24"/>
  <c r="D179" i="24"/>
  <c r="E178" i="24"/>
  <c r="D178" i="24"/>
  <c r="D177" i="24"/>
  <c r="E177" i="24" s="1"/>
  <c r="D176" i="24"/>
  <c r="E176" i="24" s="1"/>
  <c r="E175" i="24"/>
  <c r="D175" i="24"/>
  <c r="D174" i="24"/>
  <c r="E174" i="24" s="1"/>
  <c r="D173" i="24"/>
  <c r="E173" i="24" s="1"/>
  <c r="E172" i="24"/>
  <c r="D172" i="24"/>
  <c r="D171" i="24"/>
  <c r="E171" i="24" s="1"/>
  <c r="D170" i="24"/>
  <c r="E170" i="24" s="1"/>
  <c r="D169" i="24"/>
  <c r="E169" i="24" s="1"/>
  <c r="D168" i="24"/>
  <c r="E168" i="24" s="1"/>
  <c r="E167" i="24"/>
  <c r="D167" i="24"/>
  <c r="D166" i="24"/>
  <c r="E166" i="24" s="1"/>
  <c r="D165" i="24"/>
  <c r="E165" i="24" s="1"/>
  <c r="D164" i="24"/>
  <c r="E164" i="24" s="1"/>
  <c r="E163" i="24"/>
  <c r="D163" i="24"/>
  <c r="D162" i="24"/>
  <c r="E162" i="24" s="1"/>
  <c r="E161" i="24"/>
  <c r="D161" i="24"/>
  <c r="E160" i="24"/>
  <c r="D160" i="24"/>
  <c r="D159" i="24"/>
  <c r="E159" i="24" s="1"/>
  <c r="D158" i="24"/>
  <c r="E158" i="24" s="1"/>
  <c r="D157" i="24"/>
  <c r="E157" i="24" s="1"/>
  <c r="D156" i="24"/>
  <c r="E156" i="24" s="1"/>
  <c r="D155" i="24"/>
  <c r="E155" i="24" s="1"/>
  <c r="D154" i="24"/>
  <c r="E154" i="24" s="1"/>
  <c r="D153" i="24"/>
  <c r="E153" i="24" s="1"/>
  <c r="E152" i="24"/>
  <c r="D152" i="24"/>
  <c r="D151" i="24"/>
  <c r="E151" i="24" s="1"/>
  <c r="D150" i="24"/>
  <c r="E150" i="24" s="1"/>
  <c r="D149" i="24"/>
  <c r="E149" i="24" s="1"/>
  <c r="D148" i="24"/>
  <c r="E148" i="24" s="1"/>
  <c r="D147" i="24"/>
  <c r="E147" i="24" s="1"/>
  <c r="E146" i="24"/>
  <c r="D146" i="24"/>
  <c r="E145" i="24"/>
  <c r="D145" i="24"/>
  <c r="D144" i="24"/>
  <c r="E144" i="24" s="1"/>
  <c r="D143" i="24"/>
  <c r="E143" i="24" s="1"/>
  <c r="D142" i="24"/>
  <c r="E142" i="24" s="1"/>
  <c r="D141" i="24"/>
  <c r="E141" i="24" s="1"/>
  <c r="E140" i="24"/>
  <c r="D140" i="24"/>
  <c r="D139" i="24"/>
  <c r="E139" i="24" s="1"/>
  <c r="D138" i="24"/>
  <c r="E138" i="24" s="1"/>
  <c r="E137" i="24"/>
  <c r="D137" i="24"/>
  <c r="D136" i="24"/>
  <c r="E136" i="24" s="1"/>
  <c r="E135" i="24"/>
  <c r="D135" i="24"/>
  <c r="D134" i="24"/>
  <c r="E134" i="24" s="1"/>
  <c r="D133" i="24"/>
  <c r="E133" i="24" s="1"/>
  <c r="D132" i="24"/>
  <c r="E132" i="24" s="1"/>
  <c r="E131" i="24"/>
  <c r="D131" i="24"/>
  <c r="E130" i="24"/>
  <c r="D130" i="24"/>
  <c r="D129" i="24"/>
  <c r="E129" i="24" s="1"/>
  <c r="D128" i="24"/>
  <c r="E128" i="24" s="1"/>
  <c r="D127" i="24"/>
  <c r="E127" i="24" s="1"/>
  <c r="D126" i="24"/>
  <c r="E126" i="24" s="1"/>
  <c r="E125" i="24"/>
  <c r="D125" i="24"/>
  <c r="E124" i="24"/>
  <c r="D124" i="24"/>
  <c r="D123" i="24"/>
  <c r="E123" i="24" s="1"/>
  <c r="E122" i="24"/>
  <c r="D122" i="24"/>
  <c r="D121" i="24"/>
  <c r="E121" i="24" s="1"/>
  <c r="D120" i="24"/>
  <c r="E120" i="24" s="1"/>
  <c r="D119" i="24"/>
  <c r="E119" i="24" s="1"/>
  <c r="D118" i="24"/>
  <c r="E118" i="24" s="1"/>
  <c r="D117" i="24"/>
  <c r="E117" i="24" s="1"/>
  <c r="E116" i="24"/>
  <c r="D116" i="24"/>
  <c r="E115" i="24"/>
  <c r="D115" i="24"/>
  <c r="D114" i="24"/>
  <c r="E114" i="24" s="1"/>
  <c r="D113" i="24"/>
  <c r="E113" i="24" s="1"/>
  <c r="D112" i="24"/>
  <c r="E112" i="24" s="1"/>
  <c r="D111" i="24"/>
  <c r="E111" i="24" s="1"/>
  <c r="E110" i="24"/>
  <c r="D110" i="24"/>
  <c r="E109" i="24"/>
  <c r="D109" i="24"/>
  <c r="D108" i="24"/>
  <c r="E108" i="24" s="1"/>
  <c r="E107" i="24"/>
  <c r="D107" i="24"/>
  <c r="D106" i="24"/>
  <c r="E106" i="24" s="1"/>
  <c r="D105" i="24"/>
  <c r="E105" i="24" s="1"/>
  <c r="D104" i="24"/>
  <c r="E104" i="24" s="1"/>
  <c r="D103" i="24"/>
  <c r="E103" i="24" s="1"/>
  <c r="D102" i="24"/>
  <c r="E102" i="24" s="1"/>
  <c r="E101" i="24"/>
  <c r="D101" i="24"/>
  <c r="E100" i="24"/>
  <c r="D100" i="24"/>
  <c r="D99" i="24"/>
  <c r="E99" i="24" s="1"/>
  <c r="D98" i="24"/>
  <c r="E98" i="24" s="1"/>
  <c r="D97" i="24"/>
  <c r="E97" i="24" s="1"/>
  <c r="E96" i="24"/>
  <c r="D96" i="24"/>
  <c r="E95" i="24"/>
  <c r="D95" i="24"/>
  <c r="E94" i="24"/>
  <c r="D94" i="24"/>
  <c r="D93" i="24"/>
  <c r="E93" i="24" s="1"/>
  <c r="D92" i="24"/>
  <c r="E92" i="24" s="1"/>
  <c r="D91" i="24"/>
  <c r="E91" i="24" s="1"/>
  <c r="D90" i="24"/>
  <c r="E90" i="24" s="1"/>
  <c r="E89" i="24"/>
  <c r="D89" i="24"/>
  <c r="D88" i="24"/>
  <c r="E88" i="24" s="1"/>
  <c r="D87" i="24"/>
  <c r="E87" i="24" s="1"/>
  <c r="E86" i="24"/>
  <c r="D86" i="24"/>
  <c r="D85" i="24"/>
  <c r="E85" i="24" s="1"/>
  <c r="E84" i="24"/>
  <c r="D84" i="24"/>
  <c r="D83" i="24"/>
  <c r="E83" i="24" s="1"/>
  <c r="D82" i="24"/>
  <c r="E82" i="24" s="1"/>
  <c r="E81" i="24"/>
  <c r="D81" i="24"/>
  <c r="E80" i="24"/>
  <c r="D80" i="24"/>
  <c r="E79" i="24"/>
  <c r="D79" i="24"/>
  <c r="D78" i="24"/>
  <c r="E78" i="24" s="1"/>
  <c r="E77" i="24"/>
  <c r="D77" i="24"/>
  <c r="D76" i="24"/>
  <c r="E76" i="24" s="1"/>
  <c r="D75" i="24"/>
  <c r="E75" i="24" s="1"/>
  <c r="D74" i="24"/>
  <c r="E74" i="24" s="1"/>
  <c r="D73" i="24"/>
  <c r="E73" i="24" s="1"/>
  <c r="D72" i="24"/>
  <c r="E72" i="24" s="1"/>
  <c r="D71" i="24"/>
  <c r="E71" i="24" s="1"/>
  <c r="D70" i="24"/>
  <c r="E70" i="24" s="1"/>
  <c r="E69" i="24"/>
  <c r="D69" i="24"/>
  <c r="D68" i="24"/>
  <c r="E68" i="24" s="1"/>
  <c r="D67" i="24"/>
  <c r="E67" i="24" s="1"/>
  <c r="D66" i="24"/>
  <c r="E66" i="24" s="1"/>
  <c r="E65" i="24"/>
  <c r="D65" i="24"/>
  <c r="D64" i="24"/>
  <c r="E64" i="24" s="1"/>
  <c r="E63" i="24"/>
  <c r="D63" i="24"/>
  <c r="E62" i="24"/>
  <c r="D62" i="24"/>
  <c r="D61" i="24"/>
  <c r="E61" i="24" s="1"/>
  <c r="D60" i="24"/>
  <c r="E60" i="24" s="1"/>
  <c r="D59" i="24"/>
  <c r="E59" i="24" s="1"/>
  <c r="D58" i="24"/>
  <c r="E58" i="24" s="1"/>
  <c r="D57" i="24"/>
  <c r="E57" i="24" s="1"/>
  <c r="D56" i="24"/>
  <c r="E56" i="24" s="1"/>
  <c r="D55" i="24"/>
  <c r="E55" i="24" s="1"/>
  <c r="E54" i="24"/>
  <c r="D54" i="24"/>
  <c r="D53" i="24"/>
  <c r="E53" i="24" s="1"/>
  <c r="D52" i="24"/>
  <c r="E52" i="24" s="1"/>
  <c r="D51" i="24"/>
  <c r="E51" i="24" s="1"/>
  <c r="D50" i="24"/>
  <c r="E50" i="24" s="1"/>
  <c r="D49" i="24"/>
  <c r="E49" i="24" s="1"/>
  <c r="E48" i="24"/>
  <c r="D48" i="24"/>
  <c r="E47" i="24"/>
  <c r="D47" i="24"/>
  <c r="D46" i="24"/>
  <c r="E46" i="24" s="1"/>
  <c r="D45" i="24"/>
  <c r="E45" i="24" s="1"/>
  <c r="E44" i="24"/>
  <c r="D44" i="24"/>
  <c r="D43" i="24"/>
  <c r="E43" i="24" s="1"/>
  <c r="E42" i="24"/>
  <c r="D42" i="24"/>
  <c r="D41" i="24"/>
  <c r="E41" i="24" s="1"/>
  <c r="D40" i="24"/>
  <c r="E40" i="24" s="1"/>
  <c r="E39" i="24"/>
  <c r="D39" i="24"/>
  <c r="D38" i="24"/>
  <c r="E38" i="24" s="1"/>
  <c r="D37" i="24"/>
  <c r="E37" i="24" s="1"/>
  <c r="D36" i="24"/>
  <c r="E36" i="24" s="1"/>
  <c r="D35" i="24"/>
  <c r="E35" i="24" s="1"/>
  <c r="D34" i="24"/>
  <c r="E34" i="24" s="1"/>
  <c r="E33" i="24"/>
  <c r="D33" i="24"/>
  <c r="E32" i="24"/>
  <c r="D32" i="24"/>
  <c r="D31" i="24"/>
  <c r="E31" i="24" s="1"/>
  <c r="D30" i="24"/>
  <c r="E30" i="24" s="1"/>
  <c r="D29" i="24"/>
  <c r="D28" i="24"/>
  <c r="D27" i="24"/>
  <c r="D26" i="24"/>
  <c r="D25" i="24"/>
  <c r="D24" i="24"/>
  <c r="D23" i="24"/>
  <c r="D22" i="24"/>
  <c r="D21" i="24"/>
  <c r="D7" i="24" s="1"/>
  <c r="D20" i="24"/>
  <c r="D19" i="24"/>
  <c r="D18" i="24"/>
  <c r="D17" i="24"/>
  <c r="D16" i="24"/>
  <c r="D15" i="24"/>
  <c r="D14" i="24"/>
  <c r="D13" i="24"/>
  <c r="D12" i="24"/>
  <c r="D11" i="24"/>
  <c r="D10" i="24"/>
  <c r="D9" i="24"/>
  <c r="D8" i="24"/>
  <c r="E32" i="25"/>
  <c r="E31" i="25"/>
  <c r="E30" i="25"/>
  <c r="D29" i="25"/>
  <c r="E29" i="25" s="1"/>
  <c r="D28" i="25"/>
  <c r="E28" i="25" s="1"/>
  <c r="D27" i="25"/>
  <c r="D33" i="25" s="1"/>
  <c r="E33" i="25" s="1"/>
  <c r="D24" i="25"/>
  <c r="E24" i="25" s="1"/>
  <c r="D23" i="25"/>
  <c r="E23" i="25" s="1"/>
  <c r="E22" i="25"/>
  <c r="E21" i="25"/>
  <c r="D20" i="25"/>
  <c r="E20" i="25" s="1"/>
  <c r="D19" i="25"/>
  <c r="E19" i="25" s="1"/>
  <c r="D18" i="25"/>
  <c r="D25" i="25" s="1"/>
  <c r="E25" i="25" s="1"/>
  <c r="D16" i="25"/>
  <c r="E15" i="25"/>
  <c r="E14" i="25"/>
  <c r="D12" i="25"/>
  <c r="E11" i="25"/>
  <c r="E10" i="25"/>
  <c r="E9" i="25"/>
  <c r="E8" i="25"/>
  <c r="E7" i="25"/>
  <c r="E12" i="25" s="1"/>
  <c r="E264" i="24" l="1"/>
  <c r="F264" i="24"/>
  <c r="E86" i="23"/>
  <c r="G86" i="23"/>
  <c r="G307" i="6"/>
  <c r="C307" i="6" s="1"/>
  <c r="F307" i="6" s="1"/>
  <c r="C306" i="6"/>
  <c r="E40" i="18"/>
  <c r="F40" i="18" s="1"/>
  <c r="F253" i="18"/>
  <c r="E253" i="18"/>
  <c r="G188" i="23"/>
  <c r="E237" i="18"/>
  <c r="F237" i="18" s="1"/>
  <c r="G196" i="22"/>
  <c r="E196" i="22"/>
  <c r="F196" i="22" s="1"/>
  <c r="G104" i="6"/>
  <c r="C103" i="6"/>
  <c r="F103" i="6" s="1"/>
  <c r="G170" i="21"/>
  <c r="E170" i="21"/>
  <c r="F170" i="21" s="1"/>
  <c r="G261" i="22"/>
  <c r="E261" i="22"/>
  <c r="G37" i="23"/>
  <c r="E272" i="23"/>
  <c r="G272" i="23" s="1"/>
  <c r="F272" i="23"/>
  <c r="F253" i="24"/>
  <c r="F274" i="24"/>
  <c r="G46" i="23"/>
  <c r="E154" i="23"/>
  <c r="E183" i="23"/>
  <c r="E198" i="23"/>
  <c r="G50" i="18"/>
  <c r="G153" i="20"/>
  <c r="E129" i="23"/>
  <c r="F268" i="23"/>
  <c r="E268" i="23"/>
  <c r="G268" i="23" s="1"/>
  <c r="E180" i="18"/>
  <c r="F180" i="18" s="1"/>
  <c r="G180" i="18"/>
  <c r="F248" i="18"/>
  <c r="F266" i="18"/>
  <c r="E266" i="18"/>
  <c r="G266" i="18" s="1"/>
  <c r="D277" i="18"/>
  <c r="E278" i="18"/>
  <c r="F278" i="18" s="1"/>
  <c r="G278" i="18"/>
  <c r="E195" i="20"/>
  <c r="F195" i="20" s="1"/>
  <c r="G165" i="21"/>
  <c r="E165" i="21"/>
  <c r="F165" i="21" s="1"/>
  <c r="G292" i="21"/>
  <c r="E292" i="21"/>
  <c r="F292" i="21" s="1"/>
  <c r="G91" i="22"/>
  <c r="E91" i="22"/>
  <c r="F91" i="22" s="1"/>
  <c r="G83" i="21"/>
  <c r="E83" i="21"/>
  <c r="F83" i="21" s="1"/>
  <c r="C214" i="6"/>
  <c r="F214" i="6" s="1"/>
  <c r="G215" i="6"/>
  <c r="G142" i="22"/>
  <c r="E142" i="22"/>
  <c r="F142" i="22" s="1"/>
  <c r="G66" i="23"/>
  <c r="G96" i="23"/>
  <c r="E96" i="23"/>
  <c r="E117" i="18"/>
  <c r="F117" i="18" s="1"/>
  <c r="E22" i="17"/>
  <c r="F22" i="17" s="1"/>
  <c r="G308" i="18"/>
  <c r="E308" i="18"/>
  <c r="F308" i="18" s="1"/>
  <c r="F254" i="20"/>
  <c r="E254" i="20"/>
  <c r="G254" i="20"/>
  <c r="E189" i="23"/>
  <c r="G189" i="23"/>
  <c r="G128" i="21"/>
  <c r="E128" i="21"/>
  <c r="F128" i="21" s="1"/>
  <c r="E317" i="21"/>
  <c r="F317" i="21" s="1"/>
  <c r="E144" i="23"/>
  <c r="G121" i="21"/>
  <c r="E121" i="21"/>
  <c r="F121" i="21" s="1"/>
  <c r="E61" i="23"/>
  <c r="G216" i="18"/>
  <c r="E282" i="20"/>
  <c r="F282" i="20" s="1"/>
  <c r="E90" i="23"/>
  <c r="G145" i="23"/>
  <c r="E145" i="23"/>
  <c r="G66" i="18"/>
  <c r="E66" i="18"/>
  <c r="F66" i="18" s="1"/>
  <c r="E248" i="18"/>
  <c r="E254" i="24"/>
  <c r="F254" i="24"/>
  <c r="E307" i="24"/>
  <c r="E31" i="23"/>
  <c r="E62" i="23"/>
  <c r="G62" i="23"/>
  <c r="E239" i="23"/>
  <c r="E271" i="24"/>
  <c r="D337" i="23"/>
  <c r="D211" i="23"/>
  <c r="E47" i="23"/>
  <c r="E91" i="23"/>
  <c r="G91" i="23"/>
  <c r="E169" i="23"/>
  <c r="E184" i="23"/>
  <c r="G184" i="23"/>
  <c r="E216" i="23"/>
  <c r="G286" i="23"/>
  <c r="G143" i="18"/>
  <c r="E143" i="18"/>
  <c r="F143" i="18" s="1"/>
  <c r="E72" i="20"/>
  <c r="F72" i="20" s="1"/>
  <c r="E149" i="20"/>
  <c r="F149" i="20" s="1"/>
  <c r="E53" i="22"/>
  <c r="F53" i="22" s="1"/>
  <c r="G53" i="22"/>
  <c r="I286" i="6"/>
  <c r="E159" i="23"/>
  <c r="E174" i="20"/>
  <c r="F174" i="20" s="1"/>
  <c r="G292" i="20"/>
  <c r="G260" i="21"/>
  <c r="E260" i="21"/>
  <c r="F260" i="21"/>
  <c r="E52" i="23"/>
  <c r="G253" i="18"/>
  <c r="G213" i="20"/>
  <c r="G242" i="20" s="1"/>
  <c r="E213" i="20"/>
  <c r="G256" i="22"/>
  <c r="F256" i="22"/>
  <c r="E313" i="23"/>
  <c r="G313" i="23"/>
  <c r="E282" i="18"/>
  <c r="F282" i="18" s="1"/>
  <c r="D242" i="20"/>
  <c r="E177" i="21"/>
  <c r="F177" i="21" s="1"/>
  <c r="E229" i="21"/>
  <c r="F229" i="21" s="1"/>
  <c r="G229" i="21"/>
  <c r="E105" i="23"/>
  <c r="G117" i="18"/>
  <c r="E81" i="23"/>
  <c r="G148" i="18"/>
  <c r="G247" i="22"/>
  <c r="E247" i="22"/>
  <c r="F247" i="22"/>
  <c r="E267" i="24"/>
  <c r="E100" i="23"/>
  <c r="E115" i="23"/>
  <c r="E164" i="23"/>
  <c r="E193" i="23"/>
  <c r="G257" i="23"/>
  <c r="E257" i="23"/>
  <c r="E264" i="23"/>
  <c r="G264" i="23" s="1"/>
  <c r="E6" i="17"/>
  <c r="F6" i="17" s="1"/>
  <c r="G30" i="18"/>
  <c r="E30" i="18"/>
  <c r="F30" i="18" s="1"/>
  <c r="G128" i="18"/>
  <c r="E128" i="18"/>
  <c r="F128" i="18" s="1"/>
  <c r="G56" i="20"/>
  <c r="G232" i="20"/>
  <c r="E310" i="20"/>
  <c r="F310" i="20" s="1"/>
  <c r="G310" i="20"/>
  <c r="G324" i="20" s="1"/>
  <c r="G97" i="21"/>
  <c r="E97" i="21"/>
  <c r="F97" i="21" s="1"/>
  <c r="G322" i="22"/>
  <c r="E322" i="22"/>
  <c r="F322" i="22" s="1"/>
  <c r="G195" i="21"/>
  <c r="E195" i="21"/>
  <c r="F195" i="21" s="1"/>
  <c r="G241" i="21"/>
  <c r="E241" i="21"/>
  <c r="F241" i="21" s="1"/>
  <c r="G8" i="22"/>
  <c r="D7" i="22"/>
  <c r="E273" i="22"/>
  <c r="G273" i="22" s="1"/>
  <c r="F273" i="22"/>
  <c r="E27" i="25"/>
  <c r="E258" i="24"/>
  <c r="E67" i="23"/>
  <c r="G67" i="23"/>
  <c r="E174" i="23"/>
  <c r="G221" i="23"/>
  <c r="G87" i="18"/>
  <c r="E87" i="18"/>
  <c r="F87" i="18" s="1"/>
  <c r="E320" i="20"/>
  <c r="F320" i="20" s="1"/>
  <c r="G63" i="22"/>
  <c r="E63" i="22"/>
  <c r="F63" i="22" s="1"/>
  <c r="E256" i="22"/>
  <c r="G246" i="23"/>
  <c r="E246" i="23"/>
  <c r="E163" i="18"/>
  <c r="F163" i="18" s="1"/>
  <c r="E171" i="21"/>
  <c r="F171" i="21" s="1"/>
  <c r="G171" i="21"/>
  <c r="E65" i="18"/>
  <c r="F65" i="18" s="1"/>
  <c r="E82" i="18"/>
  <c r="F82" i="18" s="1"/>
  <c r="G82" i="18"/>
  <c r="E113" i="18"/>
  <c r="F113" i="18" s="1"/>
  <c r="G113" i="18"/>
  <c r="G100" i="22"/>
  <c r="E100" i="22"/>
  <c r="F100" i="22" s="1"/>
  <c r="D338" i="24"/>
  <c r="E338" i="24" s="1"/>
  <c r="G323" i="23"/>
  <c r="E323" i="23"/>
  <c r="G122" i="18"/>
  <c r="E122" i="18"/>
  <c r="F122" i="18" s="1"/>
  <c r="E190" i="18"/>
  <c r="F190" i="18" s="1"/>
  <c r="G227" i="18"/>
  <c r="E227" i="18"/>
  <c r="F227" i="18" s="1"/>
  <c r="D336" i="18"/>
  <c r="E336" i="18" s="1"/>
  <c r="E272" i="18"/>
  <c r="G272" i="18" s="1"/>
  <c r="G287" i="18"/>
  <c r="E287" i="18"/>
  <c r="F287" i="18" s="1"/>
  <c r="G98" i="20"/>
  <c r="G184" i="20"/>
  <c r="G132" i="21"/>
  <c r="E132" i="21"/>
  <c r="F132" i="21" s="1"/>
  <c r="G239" i="22"/>
  <c r="E239" i="22"/>
  <c r="F239" i="22" s="1"/>
  <c r="D35" i="25"/>
  <c r="E35" i="25" s="1"/>
  <c r="G275" i="23"/>
  <c r="G324" i="23" s="1"/>
  <c r="E275" i="23"/>
  <c r="G185" i="18"/>
  <c r="E185" i="18"/>
  <c r="F185" i="18" s="1"/>
  <c r="C77" i="6"/>
  <c r="F77" i="6" s="1"/>
  <c r="G78" i="6"/>
  <c r="F244" i="21"/>
  <c r="D342" i="21"/>
  <c r="E16" i="25"/>
  <c r="E269" i="18"/>
  <c r="G269" i="18" s="1"/>
  <c r="F269" i="18"/>
  <c r="G315" i="18"/>
  <c r="E315" i="18"/>
  <c r="F315" i="18" s="1"/>
  <c r="E114" i="20"/>
  <c r="F114" i="20" s="1"/>
  <c r="F43" i="6"/>
  <c r="E247" i="23"/>
  <c r="G247" i="23"/>
  <c r="G164" i="18"/>
  <c r="E164" i="18"/>
  <c r="F164" i="18" s="1"/>
  <c r="G77" i="20"/>
  <c r="G252" i="22"/>
  <c r="F252" i="22"/>
  <c r="G333" i="23"/>
  <c r="E333" i="23"/>
  <c r="D339" i="23"/>
  <c r="E339" i="23" s="1"/>
  <c r="G45" i="18"/>
  <c r="E45" i="18"/>
  <c r="F45" i="18" s="1"/>
  <c r="E249" i="24"/>
  <c r="F249" i="24"/>
  <c r="E57" i="23"/>
  <c r="G57" i="23"/>
  <c r="E149" i="23"/>
  <c r="E234" i="23"/>
  <c r="E7" i="24"/>
  <c r="E211" i="24" s="1"/>
  <c r="D211" i="24"/>
  <c r="D335" i="24" s="1"/>
  <c r="E335" i="24" s="1"/>
  <c r="D337" i="24"/>
  <c r="E263" i="24"/>
  <c r="E324" i="24" s="1"/>
  <c r="D277" i="24"/>
  <c r="E277" i="24" s="1"/>
  <c r="F277" i="24" s="1"/>
  <c r="E179" i="23"/>
  <c r="G194" i="23"/>
  <c r="E194" i="23"/>
  <c r="D324" i="23"/>
  <c r="E159" i="18"/>
  <c r="F159" i="18" s="1"/>
  <c r="G221" i="18"/>
  <c r="E221" i="18"/>
  <c r="F221" i="18" s="1"/>
  <c r="D342" i="18"/>
  <c r="F244" i="18"/>
  <c r="E319" i="18"/>
  <c r="F319" i="18" s="1"/>
  <c r="G217" i="20"/>
  <c r="E217" i="20"/>
  <c r="F217" i="20" s="1"/>
  <c r="E81" i="22"/>
  <c r="F81" i="22" s="1"/>
  <c r="G81" i="22"/>
  <c r="E71" i="18"/>
  <c r="F71" i="18" s="1"/>
  <c r="G255" i="21"/>
  <c r="F255" i="21"/>
  <c r="G31" i="22"/>
  <c r="E31" i="22"/>
  <c r="F31" i="22" s="1"/>
  <c r="G36" i="23"/>
  <c r="G134" i="23"/>
  <c r="G312" i="23"/>
  <c r="E312" i="23"/>
  <c r="E86" i="18"/>
  <c r="F86" i="18" s="1"/>
  <c r="G286" i="20"/>
  <c r="E77" i="21"/>
  <c r="F77" i="21" s="1"/>
  <c r="E120" i="21"/>
  <c r="F120" i="21" s="1"/>
  <c r="E130" i="22"/>
  <c r="F130" i="22" s="1"/>
  <c r="G130" i="22"/>
  <c r="G189" i="22"/>
  <c r="E189" i="22"/>
  <c r="F189" i="22" s="1"/>
  <c r="E333" i="24"/>
  <c r="E135" i="23"/>
  <c r="F261" i="22"/>
  <c r="G120" i="23"/>
  <c r="G21" i="21"/>
  <c r="D7" i="21"/>
  <c r="E18" i="25"/>
  <c r="E140" i="23"/>
  <c r="G140" i="23"/>
  <c r="E150" i="23"/>
  <c r="G150" i="23"/>
  <c r="F273" i="18"/>
  <c r="E273" i="18"/>
  <c r="G273" i="18" s="1"/>
  <c r="G44" i="21"/>
  <c r="E44" i="21"/>
  <c r="F44" i="21" s="1"/>
  <c r="G216" i="22"/>
  <c r="E216" i="22"/>
  <c r="F216" i="22" s="1"/>
  <c r="G206" i="18"/>
  <c r="E206" i="18"/>
  <c r="F206" i="18" s="1"/>
  <c r="D277" i="20"/>
  <c r="G146" i="21"/>
  <c r="E146" i="21"/>
  <c r="F146" i="21" s="1"/>
  <c r="E155" i="23"/>
  <c r="E210" i="23"/>
  <c r="G31" i="18"/>
  <c r="E31" i="18"/>
  <c r="F31" i="18" s="1"/>
  <c r="G42" i="20"/>
  <c r="E191" i="20"/>
  <c r="F191" i="20" s="1"/>
  <c r="E224" i="20"/>
  <c r="F224" i="20" s="1"/>
  <c r="E278" i="20"/>
  <c r="F278" i="20" s="1"/>
  <c r="E108" i="21"/>
  <c r="F108" i="21" s="1"/>
  <c r="G108" i="21"/>
  <c r="E120" i="22"/>
  <c r="F120" i="22" s="1"/>
  <c r="E77" i="23"/>
  <c r="G116" i="23"/>
  <c r="E126" i="23"/>
  <c r="E136" i="23"/>
  <c r="G165" i="23"/>
  <c r="E175" i="23"/>
  <c r="E223" i="23"/>
  <c r="E235" i="23"/>
  <c r="E269" i="23"/>
  <c r="G269" i="23" s="1"/>
  <c r="G276" i="23"/>
  <c r="E276" i="23"/>
  <c r="G288" i="23"/>
  <c r="E326" i="23"/>
  <c r="G52" i="18"/>
  <c r="E52" i="18"/>
  <c r="F52" i="18" s="1"/>
  <c r="E72" i="18"/>
  <c r="F72" i="18" s="1"/>
  <c r="E274" i="18"/>
  <c r="G274" i="18" s="1"/>
  <c r="E48" i="20"/>
  <c r="F48" i="20" s="1"/>
  <c r="E115" i="20"/>
  <c r="F115" i="20" s="1"/>
  <c r="G196" i="20"/>
  <c r="E250" i="20"/>
  <c r="E317" i="20"/>
  <c r="F317" i="20" s="1"/>
  <c r="G317" i="20"/>
  <c r="E19" i="17"/>
  <c r="F19" i="17" s="1"/>
  <c r="G134" i="21"/>
  <c r="E134" i="21"/>
  <c r="F134" i="21" s="1"/>
  <c r="G209" i="21"/>
  <c r="E209" i="21"/>
  <c r="F209" i="21" s="1"/>
  <c r="G198" i="22"/>
  <c r="E198" i="22"/>
  <c r="F198" i="22" s="1"/>
  <c r="E248" i="22"/>
  <c r="F259" i="24"/>
  <c r="E268" i="24"/>
  <c r="G33" i="23"/>
  <c r="G38" i="23"/>
  <c r="E43" i="23"/>
  <c r="E48" i="23"/>
  <c r="E53" i="23"/>
  <c r="G72" i="23"/>
  <c r="G82" i="23"/>
  <c r="E87" i="23"/>
  <c r="G92" i="23"/>
  <c r="E102" i="23"/>
  <c r="E107" i="23"/>
  <c r="G131" i="23"/>
  <c r="E141" i="23"/>
  <c r="E146" i="23"/>
  <c r="E151" i="23"/>
  <c r="G170" i="23"/>
  <c r="G180" i="23"/>
  <c r="E185" i="23"/>
  <c r="G190" i="23"/>
  <c r="E200" i="23"/>
  <c r="G205" i="23"/>
  <c r="E218" i="23"/>
  <c r="G229" i="23"/>
  <c r="E254" i="23"/>
  <c r="G260" i="23"/>
  <c r="E260" i="23"/>
  <c r="G36" i="18"/>
  <c r="E47" i="18"/>
  <c r="F47" i="18" s="1"/>
  <c r="G73" i="18"/>
  <c r="E73" i="18"/>
  <c r="F73" i="18" s="1"/>
  <c r="E78" i="18"/>
  <c r="F78" i="18" s="1"/>
  <c r="E93" i="18"/>
  <c r="F93" i="18" s="1"/>
  <c r="G103" i="18"/>
  <c r="G134" i="18"/>
  <c r="E145" i="18"/>
  <c r="F145" i="18" s="1"/>
  <c r="G171" i="18"/>
  <c r="E171" i="18"/>
  <c r="F171" i="18" s="1"/>
  <c r="E176" i="18"/>
  <c r="F176" i="18" s="1"/>
  <c r="E191" i="18"/>
  <c r="F191" i="18" s="1"/>
  <c r="G201" i="18"/>
  <c r="E14" i="17"/>
  <c r="G213" i="18"/>
  <c r="G242" i="18" s="1"/>
  <c r="G233" i="18"/>
  <c r="E245" i="18"/>
  <c r="E255" i="18"/>
  <c r="G259" i="18"/>
  <c r="G263" i="18"/>
  <c r="F270" i="18"/>
  <c r="E270" i="18"/>
  <c r="G270" i="18" s="1"/>
  <c r="E38" i="20"/>
  <c r="F38" i="20" s="1"/>
  <c r="E49" i="20"/>
  <c r="F49" i="20" s="1"/>
  <c r="G49" i="20"/>
  <c r="G84" i="20"/>
  <c r="E111" i="20"/>
  <c r="F111" i="20" s="1"/>
  <c r="G170" i="20"/>
  <c r="E220" i="20"/>
  <c r="F220" i="20" s="1"/>
  <c r="F250" i="20"/>
  <c r="G278" i="20"/>
  <c r="G59" i="21"/>
  <c r="E59" i="21"/>
  <c r="F59" i="21" s="1"/>
  <c r="G79" i="21"/>
  <c r="E79" i="21"/>
  <c r="F79" i="21" s="1"/>
  <c r="G115" i="21"/>
  <c r="G141" i="21"/>
  <c r="E141" i="21"/>
  <c r="F141" i="21" s="1"/>
  <c r="E192" i="21"/>
  <c r="F192" i="21" s="1"/>
  <c r="G192" i="21"/>
  <c r="E283" i="21"/>
  <c r="F283" i="21" s="1"/>
  <c r="E288" i="21"/>
  <c r="F288" i="21" s="1"/>
  <c r="G40" i="22"/>
  <c r="E71" i="22"/>
  <c r="F71" i="22" s="1"/>
  <c r="F248" i="22"/>
  <c r="G330" i="22"/>
  <c r="E122" i="21"/>
  <c r="F122" i="21" s="1"/>
  <c r="G122" i="21"/>
  <c r="E178" i="21"/>
  <c r="F178" i="21" s="1"/>
  <c r="G178" i="21"/>
  <c r="G224" i="21"/>
  <c r="E224" i="21"/>
  <c r="F224" i="21" s="1"/>
  <c r="E32" i="22"/>
  <c r="F32" i="22" s="1"/>
  <c r="G32" i="22"/>
  <c r="G153" i="6"/>
  <c r="C152" i="6"/>
  <c r="F152" i="6" s="1"/>
  <c r="G106" i="23"/>
  <c r="E199" i="23"/>
  <c r="E240" i="23"/>
  <c r="E51" i="18"/>
  <c r="F51" i="18" s="1"/>
  <c r="G324" i="18"/>
  <c r="E316" i="18"/>
  <c r="F316" i="18" s="1"/>
  <c r="G316" i="18"/>
  <c r="E316" i="20"/>
  <c r="F316" i="20" s="1"/>
  <c r="G45" i="21"/>
  <c r="E45" i="21"/>
  <c r="F45" i="21" s="1"/>
  <c r="G190" i="21"/>
  <c r="E190" i="21"/>
  <c r="F190" i="21" s="1"/>
  <c r="E280" i="22"/>
  <c r="F280" i="22" s="1"/>
  <c r="G280" i="22"/>
  <c r="F146" i="2"/>
  <c r="K146" i="2" s="1"/>
  <c r="G121" i="23"/>
  <c r="G160" i="23"/>
  <c r="G259" i="23"/>
  <c r="G282" i="23"/>
  <c r="E282" i="23"/>
  <c r="G307" i="23"/>
  <c r="E307" i="23"/>
  <c r="E57" i="18"/>
  <c r="F57" i="18" s="1"/>
  <c r="E124" i="18"/>
  <c r="F124" i="18" s="1"/>
  <c r="G150" i="18"/>
  <c r="E150" i="18"/>
  <c r="F150" i="18" s="1"/>
  <c r="E155" i="18"/>
  <c r="F155" i="18" s="1"/>
  <c r="E170" i="18"/>
  <c r="F170" i="18" s="1"/>
  <c r="E223" i="18"/>
  <c r="F223" i="18" s="1"/>
  <c r="F250" i="18"/>
  <c r="G250" i="18"/>
  <c r="E250" i="18"/>
  <c r="F259" i="18"/>
  <c r="G73" i="20"/>
  <c r="E73" i="20"/>
  <c r="F73" i="20" s="1"/>
  <c r="E94" i="20"/>
  <c r="F94" i="20" s="1"/>
  <c r="G150" i="20"/>
  <c r="E150" i="20"/>
  <c r="F150" i="20" s="1"/>
  <c r="E175" i="20"/>
  <c r="F175" i="20" s="1"/>
  <c r="G175" i="20"/>
  <c r="E129" i="21"/>
  <c r="F129" i="21" s="1"/>
  <c r="G129" i="21"/>
  <c r="G276" i="21"/>
  <c r="E276" i="21"/>
  <c r="F276" i="21" s="1"/>
  <c r="G47" i="22"/>
  <c r="E47" i="22"/>
  <c r="F47" i="22" s="1"/>
  <c r="E58" i="22"/>
  <c r="F58" i="22" s="1"/>
  <c r="E107" i="22"/>
  <c r="F107" i="22" s="1"/>
  <c r="G179" i="22"/>
  <c r="E191" i="22"/>
  <c r="F191" i="22" s="1"/>
  <c r="E241" i="22"/>
  <c r="F241" i="22" s="1"/>
  <c r="G327" i="23"/>
  <c r="E327" i="23"/>
  <c r="E68" i="18"/>
  <c r="F68" i="18" s="1"/>
  <c r="G94" i="18"/>
  <c r="E94" i="18"/>
  <c r="F94" i="18" s="1"/>
  <c r="E99" i="18"/>
  <c r="F99" i="18" s="1"/>
  <c r="E114" i="18"/>
  <c r="F114" i="18" s="1"/>
  <c r="E166" i="18"/>
  <c r="F166" i="18" s="1"/>
  <c r="G192" i="18"/>
  <c r="E192" i="18"/>
  <c r="F192" i="18" s="1"/>
  <c r="E242" i="18"/>
  <c r="F213" i="18"/>
  <c r="F242" i="18" s="1"/>
  <c r="F245" i="18"/>
  <c r="F255" i="18"/>
  <c r="G260" i="18"/>
  <c r="F260" i="18"/>
  <c r="G171" i="20"/>
  <c r="E171" i="20"/>
  <c r="F171" i="20" s="1"/>
  <c r="G101" i="21"/>
  <c r="G160" i="21"/>
  <c r="E160" i="21"/>
  <c r="F160" i="21" s="1"/>
  <c r="F268" i="21"/>
  <c r="E268" i="21"/>
  <c r="G268" i="21" s="1"/>
  <c r="G72" i="22"/>
  <c r="E72" i="22"/>
  <c r="F72" i="22" s="1"/>
  <c r="G96" i="22"/>
  <c r="E96" i="22"/>
  <c r="F96" i="22" s="1"/>
  <c r="G138" i="22"/>
  <c r="E138" i="22"/>
  <c r="F138" i="22" s="1"/>
  <c r="E5" i="6"/>
  <c r="G104" i="20"/>
  <c r="E104" i="20"/>
  <c r="F104" i="20" s="1"/>
  <c r="G228" i="18"/>
  <c r="E228" i="18"/>
  <c r="F228" i="18" s="1"/>
  <c r="G275" i="18"/>
  <c r="E20" i="17"/>
  <c r="F20" i="17" s="1"/>
  <c r="G47" i="21"/>
  <c r="E47" i="21"/>
  <c r="F47" i="21" s="1"/>
  <c r="E143" i="21"/>
  <c r="F143" i="21" s="1"/>
  <c r="G143" i="21"/>
  <c r="F9" i="6"/>
  <c r="G54" i="6"/>
  <c r="C53" i="6"/>
  <c r="C296" i="6"/>
  <c r="F296" i="6" s="1"/>
  <c r="G297" i="6"/>
  <c r="C297" i="6" s="1"/>
  <c r="F297" i="6" s="1"/>
  <c r="H98" i="2"/>
  <c r="E8" i="3" s="1"/>
  <c r="F8" i="3" s="1"/>
  <c r="E44" i="23"/>
  <c r="E49" i="23"/>
  <c r="E54" i="23"/>
  <c r="E98" i="23"/>
  <c r="E103" i="23"/>
  <c r="E108" i="23"/>
  <c r="E142" i="23"/>
  <c r="E147" i="23"/>
  <c r="E152" i="23"/>
  <c r="E196" i="23"/>
  <c r="E201" i="23"/>
  <c r="E255" i="23"/>
  <c r="G328" i="23"/>
  <c r="G38" i="18"/>
  <c r="E38" i="18"/>
  <c r="F38" i="18" s="1"/>
  <c r="E43" i="18"/>
  <c r="F43" i="18" s="1"/>
  <c r="E58" i="18"/>
  <c r="F58" i="18" s="1"/>
  <c r="E110" i="18"/>
  <c r="F110" i="18" s="1"/>
  <c r="G136" i="18"/>
  <c r="E136" i="18"/>
  <c r="F136" i="18" s="1"/>
  <c r="E141" i="18"/>
  <c r="F141" i="18" s="1"/>
  <c r="E156" i="18"/>
  <c r="F156" i="18" s="1"/>
  <c r="E208" i="18"/>
  <c r="F208" i="18" s="1"/>
  <c r="G235" i="18"/>
  <c r="E235" i="18"/>
  <c r="F235" i="18" s="1"/>
  <c r="E240" i="18"/>
  <c r="F240" i="18" s="1"/>
  <c r="E271" i="18"/>
  <c r="G271" i="18" s="1"/>
  <c r="E275" i="18"/>
  <c r="F275" i="18" s="1"/>
  <c r="E285" i="18"/>
  <c r="F285" i="18" s="1"/>
  <c r="E44" i="20"/>
  <c r="F44" i="20" s="1"/>
  <c r="E59" i="20"/>
  <c r="F59" i="20" s="1"/>
  <c r="E91" i="20"/>
  <c r="F91" i="20" s="1"/>
  <c r="G91" i="20"/>
  <c r="G140" i="20"/>
  <c r="G198" i="20"/>
  <c r="E198" i="20"/>
  <c r="F198" i="20" s="1"/>
  <c r="G313" i="20"/>
  <c r="E313" i="20"/>
  <c r="F313" i="20" s="1"/>
  <c r="E54" i="21"/>
  <c r="F54" i="21" s="1"/>
  <c r="E102" i="21"/>
  <c r="F102" i="21" s="1"/>
  <c r="E155" i="21"/>
  <c r="F155" i="21" s="1"/>
  <c r="E221" i="21"/>
  <c r="F221" i="21" s="1"/>
  <c r="G221" i="21"/>
  <c r="E227" i="21"/>
  <c r="F227" i="21" s="1"/>
  <c r="G247" i="21"/>
  <c r="F247" i="21"/>
  <c r="E247" i="21"/>
  <c r="G278" i="21"/>
  <c r="E278" i="21"/>
  <c r="F278" i="21" s="1"/>
  <c r="D277" i="21"/>
  <c r="G35" i="22"/>
  <c r="E35" i="22"/>
  <c r="F35" i="22" s="1"/>
  <c r="E116" i="22"/>
  <c r="F116" i="22" s="1"/>
  <c r="G116" i="22"/>
  <c r="E165" i="22"/>
  <c r="F165" i="22" s="1"/>
  <c r="G165" i="22"/>
  <c r="G170" i="22"/>
  <c r="E170" i="22"/>
  <c r="F170" i="22" s="1"/>
  <c r="G69" i="21"/>
  <c r="E69" i="21"/>
  <c r="F69" i="21" s="1"/>
  <c r="G311" i="21"/>
  <c r="E311" i="21"/>
  <c r="F311" i="21" s="1"/>
  <c r="E263" i="18"/>
  <c r="E324" i="18" s="1"/>
  <c r="E320" i="21"/>
  <c r="F320" i="21" s="1"/>
  <c r="G320" i="21"/>
  <c r="E46" i="22"/>
  <c r="F46" i="22" s="1"/>
  <c r="G46" i="22"/>
  <c r="E197" i="22"/>
  <c r="F197" i="22" s="1"/>
  <c r="G130" i="6"/>
  <c r="C129" i="6"/>
  <c r="F129" i="6" s="1"/>
  <c r="G115" i="18"/>
  <c r="E115" i="18"/>
  <c r="F115" i="18" s="1"/>
  <c r="G214" i="18"/>
  <c r="E214" i="18"/>
  <c r="F214" i="18" s="1"/>
  <c r="G220" i="21"/>
  <c r="E220" i="21"/>
  <c r="F220" i="21" s="1"/>
  <c r="G317" i="22"/>
  <c r="E317" i="22"/>
  <c r="F317" i="22" s="1"/>
  <c r="C284" i="6"/>
  <c r="F284" i="6" s="1"/>
  <c r="G285" i="6"/>
  <c r="C285" i="6" s="1"/>
  <c r="F285" i="6" s="1"/>
  <c r="E246" i="24"/>
  <c r="E251" i="24"/>
  <c r="E256" i="24"/>
  <c r="E269" i="24"/>
  <c r="E59" i="23"/>
  <c r="G64" i="23"/>
  <c r="E74" i="23"/>
  <c r="E79" i="23"/>
  <c r="E113" i="23"/>
  <c r="E118" i="23"/>
  <c r="E123" i="23"/>
  <c r="E157" i="23"/>
  <c r="G162" i="23"/>
  <c r="E172" i="23"/>
  <c r="E177" i="23"/>
  <c r="E225" i="23"/>
  <c r="G231" i="23"/>
  <c r="E231" i="23"/>
  <c r="E244" i="23"/>
  <c r="E250" i="23"/>
  <c r="E284" i="23"/>
  <c r="E310" i="23"/>
  <c r="E316" i="23"/>
  <c r="E321" i="23"/>
  <c r="D7" i="18"/>
  <c r="E33" i="18"/>
  <c r="F33" i="18" s="1"/>
  <c r="G59" i="18"/>
  <c r="E59" i="18"/>
  <c r="F59" i="18" s="1"/>
  <c r="E64" i="18"/>
  <c r="F64" i="18" s="1"/>
  <c r="E79" i="18"/>
  <c r="F79" i="18" s="1"/>
  <c r="E131" i="18"/>
  <c r="F131" i="18" s="1"/>
  <c r="E10" i="17"/>
  <c r="F10" i="17" s="1"/>
  <c r="G157" i="18"/>
  <c r="E157" i="18"/>
  <c r="F157" i="18" s="1"/>
  <c r="E162" i="18"/>
  <c r="F162" i="18" s="1"/>
  <c r="E177" i="18"/>
  <c r="F177" i="18" s="1"/>
  <c r="E230" i="18"/>
  <c r="F230" i="18" s="1"/>
  <c r="E252" i="18"/>
  <c r="E256" i="18"/>
  <c r="G290" i="18"/>
  <c r="E318" i="18"/>
  <c r="F318" i="18" s="1"/>
  <c r="G330" i="18"/>
  <c r="G45" i="20"/>
  <c r="E45" i="20"/>
  <c r="F45" i="20" s="1"/>
  <c r="E80" i="20"/>
  <c r="F80" i="20" s="1"/>
  <c r="E101" i="20"/>
  <c r="F101" i="20" s="1"/>
  <c r="E136" i="20"/>
  <c r="F136" i="20" s="1"/>
  <c r="E157" i="20"/>
  <c r="F157" i="20" s="1"/>
  <c r="F247" i="20"/>
  <c r="E247" i="20"/>
  <c r="D336" i="20"/>
  <c r="E336" i="20" s="1"/>
  <c r="E319" i="20"/>
  <c r="F319" i="20" s="1"/>
  <c r="E73" i="21"/>
  <c r="F73" i="21" s="1"/>
  <c r="G73" i="21"/>
  <c r="G233" i="21"/>
  <c r="E233" i="21"/>
  <c r="F233" i="21" s="1"/>
  <c r="G117" i="22"/>
  <c r="E117" i="22"/>
  <c r="F117" i="22" s="1"/>
  <c r="G147" i="22"/>
  <c r="E147" i="22"/>
  <c r="F147" i="22" s="1"/>
  <c r="G228" i="23"/>
  <c r="E228" i="23"/>
  <c r="G249" i="18"/>
  <c r="F249" i="18"/>
  <c r="E154" i="20"/>
  <c r="F154" i="20" s="1"/>
  <c r="G154" i="20"/>
  <c r="D343" i="22"/>
  <c r="F262" i="22"/>
  <c r="C290" i="6"/>
  <c r="F290" i="6" s="1"/>
  <c r="G217" i="23"/>
  <c r="E217" i="23"/>
  <c r="E287" i="21"/>
  <c r="F287" i="21" s="1"/>
  <c r="E30" i="23"/>
  <c r="E35" i="23"/>
  <c r="E40" i="23"/>
  <c r="E84" i="23"/>
  <c r="E89" i="23"/>
  <c r="E94" i="23"/>
  <c r="E128" i="23"/>
  <c r="G214" i="23"/>
  <c r="E214" i="23"/>
  <c r="D338" i="23"/>
  <c r="E338" i="23" s="1"/>
  <c r="D277" i="23"/>
  <c r="G80" i="18"/>
  <c r="E80" i="18"/>
  <c r="F80" i="18" s="1"/>
  <c r="E100" i="18"/>
  <c r="F100" i="18" s="1"/>
  <c r="G178" i="18"/>
  <c r="E178" i="18"/>
  <c r="F178" i="18" s="1"/>
  <c r="E198" i="18"/>
  <c r="F198" i="18" s="1"/>
  <c r="F252" i="18"/>
  <c r="F256" i="18"/>
  <c r="E21" i="17"/>
  <c r="F21" i="17" s="1"/>
  <c r="G307" i="18"/>
  <c r="G323" i="18"/>
  <c r="E107" i="20"/>
  <c r="F107" i="20" s="1"/>
  <c r="E188" i="20"/>
  <c r="F188" i="20" s="1"/>
  <c r="G247" i="20"/>
  <c r="E263" i="20"/>
  <c r="E88" i="21"/>
  <c r="F88" i="21" s="1"/>
  <c r="G181" i="21"/>
  <c r="E181" i="21"/>
  <c r="F181" i="21" s="1"/>
  <c r="E215" i="21"/>
  <c r="F215" i="21" s="1"/>
  <c r="G176" i="22"/>
  <c r="E176" i="22"/>
  <c r="F176" i="22" s="1"/>
  <c r="E220" i="22"/>
  <c r="F220" i="22" s="1"/>
  <c r="E288" i="22"/>
  <c r="F288" i="22" s="1"/>
  <c r="G294" i="22"/>
  <c r="E294" i="22"/>
  <c r="F294" i="22" s="1"/>
  <c r="E312" i="22"/>
  <c r="F312" i="22" s="1"/>
  <c r="G108" i="18"/>
  <c r="E108" i="18"/>
  <c r="F108" i="18" s="1"/>
  <c r="D335" i="20"/>
  <c r="D211" i="20"/>
  <c r="E7" i="20"/>
  <c r="G107" i="21"/>
  <c r="E107" i="21"/>
  <c r="F107" i="21" s="1"/>
  <c r="G183" i="21"/>
  <c r="E183" i="21"/>
  <c r="F183" i="21" s="1"/>
  <c r="E101" i="23"/>
  <c r="G129" i="18"/>
  <c r="E129" i="18"/>
  <c r="F129" i="18" s="1"/>
  <c r="E149" i="18"/>
  <c r="F149" i="18" s="1"/>
  <c r="E249" i="18"/>
  <c r="G7" i="20"/>
  <c r="G119" i="20"/>
  <c r="D346" i="20"/>
  <c r="F327" i="20"/>
  <c r="G52" i="21"/>
  <c r="E52" i="21"/>
  <c r="F52" i="21" s="1"/>
  <c r="F251" i="21"/>
  <c r="E251" i="21"/>
  <c r="G262" i="22"/>
  <c r="G64" i="6"/>
  <c r="C63" i="6"/>
  <c r="G293" i="6"/>
  <c r="C293" i="6" s="1"/>
  <c r="F293" i="6" s="1"/>
  <c r="C292" i="6"/>
  <c r="F292" i="6" s="1"/>
  <c r="G312" i="18"/>
  <c r="E312" i="18"/>
  <c r="F312" i="18" s="1"/>
  <c r="E45" i="23"/>
  <c r="G50" i="23"/>
  <c r="E143" i="23"/>
  <c r="G148" i="23"/>
  <c r="E202" i="23"/>
  <c r="G232" i="23"/>
  <c r="E263" i="23"/>
  <c r="F267" i="23"/>
  <c r="E267" i="23"/>
  <c r="G267" i="23" s="1"/>
  <c r="G285" i="23"/>
  <c r="E285" i="23"/>
  <c r="E7" i="17"/>
  <c r="F7" i="17" s="1"/>
  <c r="G44" i="18"/>
  <c r="G101" i="18"/>
  <c r="E101" i="18"/>
  <c r="F101" i="18" s="1"/>
  <c r="E121" i="18"/>
  <c r="F121" i="18" s="1"/>
  <c r="G199" i="18"/>
  <c r="E199" i="18"/>
  <c r="F199" i="18" s="1"/>
  <c r="E220" i="18"/>
  <c r="F220" i="18" s="1"/>
  <c r="E307" i="18"/>
  <c r="F307" i="18" s="1"/>
  <c r="D331" i="18"/>
  <c r="E326" i="18"/>
  <c r="E31" i="20"/>
  <c r="F31" i="20" s="1"/>
  <c r="G86" i="20"/>
  <c r="G108" i="20"/>
  <c r="E108" i="20"/>
  <c r="F108" i="20" s="1"/>
  <c r="E178" i="20"/>
  <c r="F178" i="20" s="1"/>
  <c r="E189" i="20"/>
  <c r="F189" i="20" s="1"/>
  <c r="G189" i="20"/>
  <c r="F267" i="20"/>
  <c r="E267" i="20"/>
  <c r="G267" i="20" s="1"/>
  <c r="D324" i="20"/>
  <c r="G30" i="21"/>
  <c r="E30" i="21"/>
  <c r="F30" i="21" s="1"/>
  <c r="E61" i="21"/>
  <c r="F61" i="21" s="1"/>
  <c r="G316" i="21"/>
  <c r="E316" i="21"/>
  <c r="F316" i="21" s="1"/>
  <c r="G36" i="22"/>
  <c r="G98" i="22"/>
  <c r="E98" i="22"/>
  <c r="F98" i="22" s="1"/>
  <c r="G140" i="22"/>
  <c r="E140" i="22"/>
  <c r="F140" i="22" s="1"/>
  <c r="G283" i="22"/>
  <c r="G246" i="21"/>
  <c r="E246" i="21"/>
  <c r="G318" i="21"/>
  <c r="E318" i="21"/>
  <c r="F318" i="21" s="1"/>
  <c r="G149" i="22"/>
  <c r="E149" i="22"/>
  <c r="F149" i="22" s="1"/>
  <c r="G226" i="22"/>
  <c r="E226" i="22"/>
  <c r="F226" i="22" s="1"/>
  <c r="E244" i="22"/>
  <c r="D324" i="22"/>
  <c r="G244" i="22"/>
  <c r="G324" i="22" s="1"/>
  <c r="G279" i="22"/>
  <c r="E279" i="22"/>
  <c r="F279" i="22" s="1"/>
  <c r="D277" i="22"/>
  <c r="E290" i="22"/>
  <c r="F290" i="22" s="1"/>
  <c r="G290" i="22"/>
  <c r="D331" i="22"/>
  <c r="E34" i="18"/>
  <c r="F34" i="18" s="1"/>
  <c r="E41" i="18"/>
  <c r="F41" i="18" s="1"/>
  <c r="E48" i="18"/>
  <c r="F48" i="18" s="1"/>
  <c r="E55" i="18"/>
  <c r="F55" i="18" s="1"/>
  <c r="E62" i="18"/>
  <c r="F62" i="18" s="1"/>
  <c r="E69" i="18"/>
  <c r="F69" i="18" s="1"/>
  <c r="E76" i="18"/>
  <c r="F76" i="18" s="1"/>
  <c r="E83" i="18"/>
  <c r="F83" i="18" s="1"/>
  <c r="E90" i="18"/>
  <c r="F90" i="18" s="1"/>
  <c r="E97" i="18"/>
  <c r="F97" i="18" s="1"/>
  <c r="E104" i="18"/>
  <c r="F104" i="18" s="1"/>
  <c r="E111" i="18"/>
  <c r="F111" i="18" s="1"/>
  <c r="E118" i="18"/>
  <c r="F118" i="18" s="1"/>
  <c r="E125" i="18"/>
  <c r="F125" i="18" s="1"/>
  <c r="E132" i="18"/>
  <c r="F132" i="18" s="1"/>
  <c r="E139" i="18"/>
  <c r="F139" i="18" s="1"/>
  <c r="E146" i="18"/>
  <c r="F146" i="18" s="1"/>
  <c r="E153" i="18"/>
  <c r="F153" i="18" s="1"/>
  <c r="E160" i="18"/>
  <c r="F160" i="18" s="1"/>
  <c r="E167" i="18"/>
  <c r="F167" i="18" s="1"/>
  <c r="E174" i="18"/>
  <c r="F174" i="18" s="1"/>
  <c r="E181" i="18"/>
  <c r="F181" i="18" s="1"/>
  <c r="E188" i="18"/>
  <c r="F188" i="18" s="1"/>
  <c r="E195" i="18"/>
  <c r="F195" i="18" s="1"/>
  <c r="E202" i="18"/>
  <c r="F202" i="18" s="1"/>
  <c r="E209" i="18"/>
  <c r="F209" i="18" s="1"/>
  <c r="E217" i="18"/>
  <c r="F217" i="18" s="1"/>
  <c r="E224" i="18"/>
  <c r="F224" i="18" s="1"/>
  <c r="E231" i="18"/>
  <c r="F231" i="18" s="1"/>
  <c r="E238" i="18"/>
  <c r="F238" i="18" s="1"/>
  <c r="E246" i="18"/>
  <c r="E276" i="18"/>
  <c r="F276" i="18" s="1"/>
  <c r="E283" i="18"/>
  <c r="F283" i="18" s="1"/>
  <c r="E294" i="18"/>
  <c r="F294" i="18" s="1"/>
  <c r="E65" i="20"/>
  <c r="F65" i="20" s="1"/>
  <c r="E129" i="20"/>
  <c r="F129" i="20" s="1"/>
  <c r="G133" i="20"/>
  <c r="E142" i="20"/>
  <c r="F142" i="20" s="1"/>
  <c r="E146" i="20"/>
  <c r="F146" i="20" s="1"/>
  <c r="E206" i="20"/>
  <c r="F206" i="20" s="1"/>
  <c r="G210" i="20"/>
  <c r="E238" i="20"/>
  <c r="F238" i="20" s="1"/>
  <c r="E256" i="20"/>
  <c r="E260" i="20"/>
  <c r="E264" i="20"/>
  <c r="G264" i="20" s="1"/>
  <c r="G279" i="20"/>
  <c r="E288" i="20"/>
  <c r="F288" i="20" s="1"/>
  <c r="E331" i="20"/>
  <c r="F331" i="20" s="1"/>
  <c r="G31" i="21"/>
  <c r="E31" i="21"/>
  <c r="F31" i="21" s="1"/>
  <c r="E36" i="21"/>
  <c r="F36" i="21" s="1"/>
  <c r="E51" i="21"/>
  <c r="F51" i="21" s="1"/>
  <c r="E78" i="21"/>
  <c r="F78" i="21" s="1"/>
  <c r="G111" i="21"/>
  <c r="E111" i="21"/>
  <c r="F111" i="21" s="1"/>
  <c r="E151" i="21"/>
  <c r="F151" i="21" s="1"/>
  <c r="E156" i="21"/>
  <c r="F156" i="21" s="1"/>
  <c r="G161" i="21"/>
  <c r="E200" i="21"/>
  <c r="F200" i="21" s="1"/>
  <c r="E205" i="21"/>
  <c r="F205" i="21" s="1"/>
  <c r="G210" i="21"/>
  <c r="E240" i="21"/>
  <c r="F240" i="21" s="1"/>
  <c r="F246" i="21"/>
  <c r="E256" i="21"/>
  <c r="F261" i="21"/>
  <c r="E261" i="21"/>
  <c r="D331" i="21"/>
  <c r="G42" i="22"/>
  <c r="E42" i="22"/>
  <c r="F42" i="22" s="1"/>
  <c r="G49" i="22"/>
  <c r="E49" i="22"/>
  <c r="F49" i="22" s="1"/>
  <c r="E99" i="22"/>
  <c r="F99" i="22" s="1"/>
  <c r="E121" i="22"/>
  <c r="F121" i="22" s="1"/>
  <c r="G232" i="22"/>
  <c r="E232" i="22"/>
  <c r="F232" i="22" s="1"/>
  <c r="E307" i="22"/>
  <c r="F307" i="22" s="1"/>
  <c r="E326" i="22"/>
  <c r="G294" i="18"/>
  <c r="F244" i="20"/>
  <c r="G331" i="20"/>
  <c r="E80" i="21"/>
  <c r="F80" i="21" s="1"/>
  <c r="G80" i="21"/>
  <c r="G127" i="22"/>
  <c r="E127" i="22"/>
  <c r="F127" i="22" s="1"/>
  <c r="G182" i="22"/>
  <c r="E182" i="22"/>
  <c r="F182" i="22" s="1"/>
  <c r="E193" i="22"/>
  <c r="F193" i="22" s="1"/>
  <c r="G193" i="22"/>
  <c r="G210" i="22"/>
  <c r="E210" i="22"/>
  <c r="F210" i="22" s="1"/>
  <c r="G326" i="22"/>
  <c r="F261" i="20"/>
  <c r="E261" i="20"/>
  <c r="G125" i="21"/>
  <c r="E125" i="21"/>
  <c r="F125" i="21" s="1"/>
  <c r="G174" i="21"/>
  <c r="E174" i="21"/>
  <c r="F174" i="21" s="1"/>
  <c r="E313" i="21"/>
  <c r="F313" i="21" s="1"/>
  <c r="G313" i="21"/>
  <c r="G38" i="22"/>
  <c r="E38" i="22"/>
  <c r="F38" i="22" s="1"/>
  <c r="G133" i="22"/>
  <c r="E133" i="22"/>
  <c r="F133" i="22" s="1"/>
  <c r="E144" i="22"/>
  <c r="F144" i="22" s="1"/>
  <c r="G144" i="22"/>
  <c r="G161" i="22"/>
  <c r="E161" i="22"/>
  <c r="F161" i="22" s="1"/>
  <c r="G194" i="22"/>
  <c r="E194" i="22"/>
  <c r="F194" i="22" s="1"/>
  <c r="E247" i="18"/>
  <c r="E258" i="18"/>
  <c r="F327" i="18"/>
  <c r="E66" i="20"/>
  <c r="F66" i="20" s="1"/>
  <c r="E143" i="20"/>
  <c r="F143" i="20" s="1"/>
  <c r="G147" i="20"/>
  <c r="G239" i="20"/>
  <c r="E249" i="20"/>
  <c r="E253" i="20"/>
  <c r="E257" i="20"/>
  <c r="G261" i="20"/>
  <c r="E269" i="20"/>
  <c r="G269" i="20" s="1"/>
  <c r="E289" i="20"/>
  <c r="F289" i="20" s="1"/>
  <c r="E37" i="21"/>
  <c r="F37" i="21" s="1"/>
  <c r="G93" i="21"/>
  <c r="E93" i="21"/>
  <c r="F93" i="21" s="1"/>
  <c r="E142" i="21"/>
  <c r="F142" i="21" s="1"/>
  <c r="E147" i="21"/>
  <c r="F147" i="21" s="1"/>
  <c r="E191" i="21"/>
  <c r="F191" i="21" s="1"/>
  <c r="E196" i="21"/>
  <c r="F196" i="21" s="1"/>
  <c r="G231" i="21"/>
  <c r="E231" i="21"/>
  <c r="F231" i="21" s="1"/>
  <c r="E267" i="21"/>
  <c r="G267" i="21" s="1"/>
  <c r="G314" i="21"/>
  <c r="E314" i="21"/>
  <c r="F314" i="21" s="1"/>
  <c r="E44" i="22"/>
  <c r="F44" i="22" s="1"/>
  <c r="G51" i="22"/>
  <c r="E51" i="22"/>
  <c r="F51" i="22" s="1"/>
  <c r="E68" i="22"/>
  <c r="F68" i="22" s="1"/>
  <c r="G78" i="22"/>
  <c r="E78" i="22"/>
  <c r="F78" i="22" s="1"/>
  <c r="G112" i="22"/>
  <c r="E112" i="22"/>
  <c r="F112" i="22" s="1"/>
  <c r="G145" i="22"/>
  <c r="E145" i="22"/>
  <c r="F145" i="22" s="1"/>
  <c r="G200" i="22"/>
  <c r="E327" i="22"/>
  <c r="D324" i="18"/>
  <c r="E122" i="20"/>
  <c r="F122" i="20" s="1"/>
  <c r="G126" i="20"/>
  <c r="G203" i="20"/>
  <c r="E235" i="20"/>
  <c r="F235" i="20" s="1"/>
  <c r="F257" i="20"/>
  <c r="E328" i="20"/>
  <c r="F328" i="20" s="1"/>
  <c r="G38" i="21"/>
  <c r="E38" i="21"/>
  <c r="F38" i="21" s="1"/>
  <c r="E58" i="21"/>
  <c r="F58" i="21" s="1"/>
  <c r="E74" i="21"/>
  <c r="F74" i="21" s="1"/>
  <c r="E94" i="21"/>
  <c r="F94" i="21" s="1"/>
  <c r="G94" i="21"/>
  <c r="E106" i="21"/>
  <c r="F106" i="21" s="1"/>
  <c r="G214" i="21"/>
  <c r="E219" i="21"/>
  <c r="F219" i="21" s="1"/>
  <c r="E327" i="21"/>
  <c r="G84" i="22"/>
  <c r="E84" i="22"/>
  <c r="F84" i="22" s="1"/>
  <c r="E95" i="22"/>
  <c r="F95" i="22" s="1"/>
  <c r="G95" i="22"/>
  <c r="G151" i="22"/>
  <c r="E205" i="22"/>
  <c r="F205" i="22" s="1"/>
  <c r="G321" i="22"/>
  <c r="D345" i="20"/>
  <c r="G77" i="22"/>
  <c r="E77" i="22"/>
  <c r="F77" i="22" s="1"/>
  <c r="G126" i="22"/>
  <c r="E126" i="22"/>
  <c r="F126" i="22" s="1"/>
  <c r="G175" i="22"/>
  <c r="E175" i="22"/>
  <c r="F175" i="22" s="1"/>
  <c r="G225" i="22"/>
  <c r="E225" i="22"/>
  <c r="F225" i="22" s="1"/>
  <c r="C14" i="6"/>
  <c r="F14" i="6" s="1"/>
  <c r="G15" i="6"/>
  <c r="E276" i="20"/>
  <c r="F276" i="20" s="1"/>
  <c r="E34" i="21"/>
  <c r="F34" i="21" s="1"/>
  <c r="E41" i="21"/>
  <c r="F41" i="21" s="1"/>
  <c r="E48" i="21"/>
  <c r="F48" i="21" s="1"/>
  <c r="E55" i="21"/>
  <c r="F55" i="21" s="1"/>
  <c r="E62" i="21"/>
  <c r="F62" i="21" s="1"/>
  <c r="E70" i="21"/>
  <c r="F70" i="21" s="1"/>
  <c r="E84" i="21"/>
  <c r="F84" i="21" s="1"/>
  <c r="E98" i="21"/>
  <c r="F98" i="21" s="1"/>
  <c r="E112" i="21"/>
  <c r="F112" i="21" s="1"/>
  <c r="G139" i="21"/>
  <c r="E139" i="21"/>
  <c r="F139" i="21" s="1"/>
  <c r="G188" i="21"/>
  <c r="E188" i="21"/>
  <c r="F188" i="21" s="1"/>
  <c r="G238" i="21"/>
  <c r="E238" i="21"/>
  <c r="F238" i="21" s="1"/>
  <c r="G248" i="21"/>
  <c r="F248" i="21"/>
  <c r="F257" i="21"/>
  <c r="E265" i="21"/>
  <c r="G265" i="21" s="1"/>
  <c r="E308" i="21"/>
  <c r="F308" i="21" s="1"/>
  <c r="E33" i="22"/>
  <c r="F33" i="22" s="1"/>
  <c r="E37" i="22"/>
  <c r="F37" i="22" s="1"/>
  <c r="E64" i="22"/>
  <c r="F64" i="22" s="1"/>
  <c r="E82" i="22"/>
  <c r="F82" i="22" s="1"/>
  <c r="E86" i="22"/>
  <c r="F86" i="22" s="1"/>
  <c r="E113" i="22"/>
  <c r="F113" i="22" s="1"/>
  <c r="E131" i="22"/>
  <c r="F131" i="22" s="1"/>
  <c r="E135" i="22"/>
  <c r="F135" i="22" s="1"/>
  <c r="E162" i="22"/>
  <c r="F162" i="22" s="1"/>
  <c r="E180" i="22"/>
  <c r="F180" i="22" s="1"/>
  <c r="E184" i="22"/>
  <c r="F184" i="22" s="1"/>
  <c r="E230" i="22"/>
  <c r="F230" i="22" s="1"/>
  <c r="E234" i="22"/>
  <c r="F234" i="22" s="1"/>
  <c r="G249" i="22"/>
  <c r="F249" i="22"/>
  <c r="F258" i="22"/>
  <c r="F266" i="22"/>
  <c r="E266" i="22"/>
  <c r="G266" i="22" s="1"/>
  <c r="E308" i="22"/>
  <c r="F308" i="22" s="1"/>
  <c r="E318" i="22"/>
  <c r="F318" i="22" s="1"/>
  <c r="D336" i="22"/>
  <c r="E336" i="22" s="1"/>
  <c r="F22" i="6"/>
  <c r="G153" i="21"/>
  <c r="E153" i="21"/>
  <c r="F153" i="21" s="1"/>
  <c r="G202" i="21"/>
  <c r="E202" i="21"/>
  <c r="F202" i="21" s="1"/>
  <c r="G253" i="21"/>
  <c r="E253" i="21"/>
  <c r="G285" i="21"/>
  <c r="E285" i="21"/>
  <c r="F285" i="21" s="1"/>
  <c r="G328" i="21"/>
  <c r="G60" i="22"/>
  <c r="G109" i="22"/>
  <c r="G158" i="22"/>
  <c r="G207" i="22"/>
  <c r="G254" i="22"/>
  <c r="E254" i="22"/>
  <c r="G314" i="22"/>
  <c r="C90" i="6"/>
  <c r="F90" i="6" s="1"/>
  <c r="G91" i="6"/>
  <c r="C188" i="6"/>
  <c r="F188" i="6" s="1"/>
  <c r="G189" i="6"/>
  <c r="C227" i="6"/>
  <c r="F227" i="6" s="1"/>
  <c r="G228" i="6"/>
  <c r="D343" i="21"/>
  <c r="F262" i="21"/>
  <c r="G323" i="21"/>
  <c r="E323" i="21"/>
  <c r="F323" i="21" s="1"/>
  <c r="G56" i="22"/>
  <c r="E56" i="22"/>
  <c r="F56" i="22" s="1"/>
  <c r="G105" i="22"/>
  <c r="E105" i="22"/>
  <c r="F105" i="22" s="1"/>
  <c r="G154" i="22"/>
  <c r="E154" i="22"/>
  <c r="F154" i="22" s="1"/>
  <c r="G203" i="22"/>
  <c r="E203" i="22"/>
  <c r="F203" i="22" s="1"/>
  <c r="D242" i="22"/>
  <c r="G213" i="22"/>
  <c r="G242" i="22" s="1"/>
  <c r="D344" i="22"/>
  <c r="F263" i="22"/>
  <c r="G310" i="22"/>
  <c r="E310" i="22"/>
  <c r="F310" i="22" s="1"/>
  <c r="E268" i="20"/>
  <c r="G268" i="20" s="1"/>
  <c r="E71" i="21"/>
  <c r="F71" i="21" s="1"/>
  <c r="G76" i="21"/>
  <c r="E76" i="21"/>
  <c r="F76" i="21" s="1"/>
  <c r="E85" i="21"/>
  <c r="F85" i="21" s="1"/>
  <c r="G90" i="21"/>
  <c r="E90" i="21"/>
  <c r="F90" i="21" s="1"/>
  <c r="E99" i="21"/>
  <c r="F99" i="21" s="1"/>
  <c r="G104" i="21"/>
  <c r="E104" i="21"/>
  <c r="F104" i="21" s="1"/>
  <c r="E113" i="21"/>
  <c r="F113" i="21" s="1"/>
  <c r="G118" i="21"/>
  <c r="E118" i="21"/>
  <c r="F118" i="21" s="1"/>
  <c r="G167" i="21"/>
  <c r="E167" i="21"/>
  <c r="F167" i="21" s="1"/>
  <c r="G217" i="21"/>
  <c r="E217" i="21"/>
  <c r="F217" i="21" s="1"/>
  <c r="G263" i="21"/>
  <c r="G324" i="21" s="1"/>
  <c r="D336" i="21"/>
  <c r="E336" i="21" s="1"/>
  <c r="E270" i="21"/>
  <c r="G270" i="21" s="1"/>
  <c r="E273" i="21"/>
  <c r="G273" i="21" s="1"/>
  <c r="E319" i="21"/>
  <c r="F319" i="21" s="1"/>
  <c r="E52" i="22"/>
  <c r="F52" i="22" s="1"/>
  <c r="E65" i="22"/>
  <c r="F65" i="22" s="1"/>
  <c r="E114" i="22"/>
  <c r="F114" i="22" s="1"/>
  <c r="E163" i="22"/>
  <c r="F163" i="22" s="1"/>
  <c r="E213" i="22"/>
  <c r="G286" i="22"/>
  <c r="E286" i="22"/>
  <c r="F286" i="22" s="1"/>
  <c r="E319" i="22"/>
  <c r="F319" i="22" s="1"/>
  <c r="G25" i="6"/>
  <c r="E127" i="21"/>
  <c r="F127" i="21" s="1"/>
  <c r="G136" i="21"/>
  <c r="E163" i="21"/>
  <c r="F163" i="21" s="1"/>
  <c r="E176" i="21"/>
  <c r="F176" i="21" s="1"/>
  <c r="G185" i="21"/>
  <c r="E213" i="21"/>
  <c r="E226" i="21"/>
  <c r="F226" i="21" s="1"/>
  <c r="G235" i="21"/>
  <c r="E263" i="21"/>
  <c r="E324" i="21" s="1"/>
  <c r="G70" i="22"/>
  <c r="E70" i="22"/>
  <c r="F70" i="22" s="1"/>
  <c r="G119" i="22"/>
  <c r="E119" i="22"/>
  <c r="F119" i="22" s="1"/>
  <c r="G168" i="22"/>
  <c r="E168" i="22"/>
  <c r="F168" i="22" s="1"/>
  <c r="G218" i="22"/>
  <c r="E218" i="22"/>
  <c r="F218" i="22" s="1"/>
  <c r="D209" i="6"/>
  <c r="G281" i="6"/>
  <c r="C281" i="6" s="1"/>
  <c r="F281" i="6" s="1"/>
  <c r="C280" i="6"/>
  <c r="F280" i="6" s="1"/>
  <c r="G38" i="6"/>
  <c r="C37" i="6"/>
  <c r="F37" i="6" s="1"/>
  <c r="F225" i="6"/>
  <c r="C35" i="6"/>
  <c r="I75" i="6"/>
  <c r="D73" i="6"/>
  <c r="G117" i="6"/>
  <c r="C116" i="6"/>
  <c r="F116" i="6" s="1"/>
  <c r="H100" i="2"/>
  <c r="E10" i="3" s="1"/>
  <c r="F10" i="3" s="1"/>
  <c r="C140" i="6"/>
  <c r="F140" i="6" s="1"/>
  <c r="G141" i="6"/>
  <c r="D8" i="6"/>
  <c r="D6" i="6" s="1"/>
  <c r="C12" i="6"/>
  <c r="F12" i="6" s="1"/>
  <c r="E366" i="6"/>
  <c r="F367" i="6"/>
  <c r="G97" i="2"/>
  <c r="F101" i="2"/>
  <c r="G101" i="2" s="1"/>
  <c r="H101" i="2" s="1"/>
  <c r="E11" i="3" s="1"/>
  <c r="F11" i="3" s="1"/>
  <c r="C115" i="6"/>
  <c r="F115" i="6" s="1"/>
  <c r="F245" i="6"/>
  <c r="F288" i="6"/>
  <c r="F291" i="6"/>
  <c r="F334" i="6"/>
  <c r="M5" i="4"/>
  <c r="M288" i="4" s="1"/>
  <c r="C102" i="6"/>
  <c r="F102" i="6" s="1"/>
  <c r="C151" i="6"/>
  <c r="F151" i="6" s="1"/>
  <c r="C279" i="6"/>
  <c r="F98" i="2"/>
  <c r="G98" i="2" s="1"/>
  <c r="G164" i="6"/>
  <c r="G177" i="6"/>
  <c r="F249" i="6"/>
  <c r="G252" i="6"/>
  <c r="F309" i="6"/>
  <c r="C76" i="6"/>
  <c r="F76" i="6" s="1"/>
  <c r="F96" i="6"/>
  <c r="F194" i="6"/>
  <c r="G200" i="6"/>
  <c r="G239" i="6"/>
  <c r="F256" i="6"/>
  <c r="F295" i="6"/>
  <c r="C283" i="6"/>
  <c r="F99" i="2"/>
  <c r="G99" i="2" s="1"/>
  <c r="H99" i="2" s="1"/>
  <c r="E9" i="3" s="1"/>
  <c r="F9" i="3" s="1"/>
  <c r="C15" i="7"/>
  <c r="E17" i="1" s="1"/>
  <c r="F100" i="2"/>
  <c r="G100" i="2" s="1"/>
  <c r="F134" i="6"/>
  <c r="E277" i="18" l="1"/>
  <c r="F277" i="18" s="1"/>
  <c r="G277" i="18"/>
  <c r="E324" i="22"/>
  <c r="D342" i="22"/>
  <c r="F244" i="22"/>
  <c r="F324" i="22" s="1"/>
  <c r="F324" i="18"/>
  <c r="E331" i="18"/>
  <c r="F331" i="18" s="1"/>
  <c r="G331" i="18"/>
  <c r="D337" i="18"/>
  <c r="E337" i="18" s="1"/>
  <c r="F213" i="20"/>
  <c r="F242" i="20" s="1"/>
  <c r="E242" i="20"/>
  <c r="C25" i="6"/>
  <c r="G26" i="6"/>
  <c r="F327" i="22"/>
  <c r="D346" i="22"/>
  <c r="D345" i="22"/>
  <c r="F326" i="22"/>
  <c r="D335" i="21"/>
  <c r="D211" i="21"/>
  <c r="G7" i="21"/>
  <c r="E7" i="21"/>
  <c r="G201" i="6"/>
  <c r="C200" i="6"/>
  <c r="F200" i="6" s="1"/>
  <c r="D340" i="24"/>
  <c r="E340" i="24" s="1"/>
  <c r="E337" i="24"/>
  <c r="F213" i="22"/>
  <c r="F242" i="22" s="1"/>
  <c r="E242" i="22"/>
  <c r="C305" i="6"/>
  <c r="F306" i="6"/>
  <c r="G142" i="6"/>
  <c r="C141" i="6"/>
  <c r="F141" i="6" s="1"/>
  <c r="F35" i="6"/>
  <c r="G253" i="6"/>
  <c r="C252" i="6"/>
  <c r="F324" i="21"/>
  <c r="C189" i="6"/>
  <c r="F189" i="6" s="1"/>
  <c r="G190" i="6"/>
  <c r="G216" i="6"/>
  <c r="C215" i="6"/>
  <c r="F215" i="6" s="1"/>
  <c r="C117" i="6"/>
  <c r="F117" i="6" s="1"/>
  <c r="G118" i="6"/>
  <c r="C130" i="6"/>
  <c r="F130" i="6" s="1"/>
  <c r="G131" i="6"/>
  <c r="F63" i="6"/>
  <c r="C64" i="6"/>
  <c r="F64" i="6" s="1"/>
  <c r="G65" i="6"/>
  <c r="F53" i="6"/>
  <c r="C78" i="6"/>
  <c r="F78" i="6" s="1"/>
  <c r="G79" i="6"/>
  <c r="E24" i="17"/>
  <c r="G178" i="6"/>
  <c r="C177" i="6"/>
  <c r="F177" i="6" s="1"/>
  <c r="G102" i="2"/>
  <c r="H97" i="2"/>
  <c r="E324" i="23"/>
  <c r="E277" i="21"/>
  <c r="F277" i="21" s="1"/>
  <c r="G277" i="21"/>
  <c r="C54" i="6"/>
  <c r="F54" i="6" s="1"/>
  <c r="G55" i="6"/>
  <c r="G7" i="22"/>
  <c r="E7" i="22"/>
  <c r="D335" i="22"/>
  <c r="D211" i="22"/>
  <c r="F263" i="20"/>
  <c r="F324" i="20" s="1"/>
  <c r="D344" i="20"/>
  <c r="D347" i="20" s="1"/>
  <c r="G277" i="23"/>
  <c r="E277" i="23"/>
  <c r="E337" i="23"/>
  <c r="D340" i="23"/>
  <c r="E340" i="23" s="1"/>
  <c r="D5" i="6"/>
  <c r="I88" i="6"/>
  <c r="C75" i="6"/>
  <c r="D345" i="18"/>
  <c r="F326" i="18"/>
  <c r="E242" i="21"/>
  <c r="F213" i="21"/>
  <c r="F242" i="21" s="1"/>
  <c r="G16" i="6"/>
  <c r="C15" i="6"/>
  <c r="F15" i="6" s="1"/>
  <c r="G165" i="6"/>
  <c r="C164" i="6"/>
  <c r="F164" i="6" s="1"/>
  <c r="C13" i="7"/>
  <c r="C24" i="7" s="1"/>
  <c r="E19" i="1" s="1"/>
  <c r="E211" i="20"/>
  <c r="F211" i="20" s="1"/>
  <c r="F7" i="20"/>
  <c r="C153" i="6"/>
  <c r="F153" i="6" s="1"/>
  <c r="G154" i="6"/>
  <c r="D335" i="23"/>
  <c r="G211" i="23"/>
  <c r="E277" i="20"/>
  <c r="F277" i="20" s="1"/>
  <c r="G277" i="20"/>
  <c r="C91" i="6"/>
  <c r="F91" i="6" s="1"/>
  <c r="G92" i="6"/>
  <c r="C38" i="6"/>
  <c r="F38" i="6" s="1"/>
  <c r="G39" i="6"/>
  <c r="E5" i="17"/>
  <c r="D335" i="18"/>
  <c r="G7" i="18"/>
  <c r="E7" i="18"/>
  <c r="D211" i="18"/>
  <c r="G331" i="22"/>
  <c r="D337" i="22"/>
  <c r="E337" i="22" s="1"/>
  <c r="E331" i="22"/>
  <c r="F331" i="22" s="1"/>
  <c r="D344" i="18"/>
  <c r="D347" i="18" s="1"/>
  <c r="F263" i="18"/>
  <c r="G211" i="20"/>
  <c r="D333" i="20"/>
  <c r="F14" i="17"/>
  <c r="E15" i="17"/>
  <c r="C104" i="6"/>
  <c r="F104" i="6" s="1"/>
  <c r="G105" i="6"/>
  <c r="I290" i="6"/>
  <c r="G240" i="6"/>
  <c r="C239" i="6"/>
  <c r="F239" i="6" s="1"/>
  <c r="F263" i="21"/>
  <c r="D344" i="21"/>
  <c r="D347" i="21" s="1"/>
  <c r="C294" i="6"/>
  <c r="F294" i="6" s="1"/>
  <c r="C228" i="6"/>
  <c r="G229" i="6"/>
  <c r="G331" i="21"/>
  <c r="E331" i="21"/>
  <c r="F331" i="21" s="1"/>
  <c r="D337" i="21"/>
  <c r="E337" i="21" s="1"/>
  <c r="G277" i="22"/>
  <c r="E277" i="22"/>
  <c r="F277" i="22" s="1"/>
  <c r="F283" i="6"/>
  <c r="C282" i="6"/>
  <c r="F282" i="6" s="1"/>
  <c r="C278" i="6"/>
  <c r="F279" i="6"/>
  <c r="F366" i="6"/>
  <c r="E365" i="6"/>
  <c r="F365" i="6" s="1"/>
  <c r="F327" i="21"/>
  <c r="D346" i="21"/>
  <c r="E324" i="20"/>
  <c r="E335" i="20"/>
  <c r="D338" i="20"/>
  <c r="E338" i="20" s="1"/>
  <c r="G230" i="6" l="1"/>
  <c r="C229" i="6"/>
  <c r="F229" i="6" s="1"/>
  <c r="F7" i="18"/>
  <c r="E211" i="18"/>
  <c r="F211" i="18" s="1"/>
  <c r="F228" i="6"/>
  <c r="F25" i="6"/>
  <c r="E12" i="17"/>
  <c r="E35" i="17" s="1"/>
  <c r="F5" i="17"/>
  <c r="G155" i="6"/>
  <c r="C154" i="6"/>
  <c r="F154" i="6" s="1"/>
  <c r="C39" i="6"/>
  <c r="F39" i="6" s="1"/>
  <c r="G40" i="6"/>
  <c r="F75" i="6"/>
  <c r="G202" i="6"/>
  <c r="C201" i="6"/>
  <c r="F201" i="6" s="1"/>
  <c r="D347" i="22"/>
  <c r="H102" i="2"/>
  <c r="E7" i="3"/>
  <c r="G106" i="6"/>
  <c r="C105" i="6"/>
  <c r="F105" i="6" s="1"/>
  <c r="C16" i="6"/>
  <c r="F16" i="6" s="1"/>
  <c r="G19" i="6"/>
  <c r="C131" i="6"/>
  <c r="F131" i="6" s="1"/>
  <c r="G132" i="6"/>
  <c r="G335" i="23"/>
  <c r="E335" i="23"/>
  <c r="I294" i="6"/>
  <c r="C118" i="6"/>
  <c r="F118" i="6" s="1"/>
  <c r="G119" i="6"/>
  <c r="C88" i="6"/>
  <c r="I101" i="6"/>
  <c r="G56" i="6"/>
  <c r="C55" i="6"/>
  <c r="F55" i="6" s="1"/>
  <c r="G217" i="6"/>
  <c r="C216" i="6"/>
  <c r="F216" i="6" s="1"/>
  <c r="F252" i="6"/>
  <c r="F390" i="6"/>
  <c r="I282" i="6"/>
  <c r="E13" i="1"/>
  <c r="G66" i="6"/>
  <c r="C65" i="6"/>
  <c r="F65" i="6" s="1"/>
  <c r="G143" i="6"/>
  <c r="C142" i="6"/>
  <c r="F142" i="6" s="1"/>
  <c r="G27" i="6"/>
  <c r="C26" i="6"/>
  <c r="F26" i="6" s="1"/>
  <c r="G80" i="6"/>
  <c r="C79" i="6"/>
  <c r="F79" i="6" s="1"/>
  <c r="G211" i="21"/>
  <c r="D333" i="21"/>
  <c r="D333" i="18"/>
  <c r="G211" i="18"/>
  <c r="D338" i="22"/>
  <c r="E338" i="22" s="1"/>
  <c r="E335" i="22"/>
  <c r="F7" i="22"/>
  <c r="E211" i="22"/>
  <c r="F211" i="22" s="1"/>
  <c r="E333" i="20"/>
  <c r="F333" i="20" s="1"/>
  <c r="G333" i="20"/>
  <c r="F278" i="6"/>
  <c r="G93" i="6"/>
  <c r="C92" i="6"/>
  <c r="F92" i="6" s="1"/>
  <c r="E211" i="21"/>
  <c r="F211" i="21" s="1"/>
  <c r="F7" i="21"/>
  <c r="C240" i="6"/>
  <c r="F240" i="6" s="1"/>
  <c r="G241" i="6"/>
  <c r="E335" i="21"/>
  <c r="D338" i="21"/>
  <c r="E338" i="21" s="1"/>
  <c r="D333" i="22"/>
  <c r="G211" i="22"/>
  <c r="G179" i="6"/>
  <c r="C178" i="6"/>
  <c r="F178" i="6" s="1"/>
  <c r="E335" i="18"/>
  <c r="D338" i="18"/>
  <c r="E338" i="18" s="1"/>
  <c r="G254" i="6"/>
  <c r="C253" i="6"/>
  <c r="F253" i="6" s="1"/>
  <c r="G166" i="6"/>
  <c r="C165" i="6"/>
  <c r="F165" i="6" s="1"/>
  <c r="G191" i="6"/>
  <c r="C190" i="6"/>
  <c r="F190" i="6" s="1"/>
  <c r="C304" i="6"/>
  <c r="F305" i="6"/>
  <c r="G28" i="6" l="1"/>
  <c r="C27" i="6"/>
  <c r="F27" i="6" s="1"/>
  <c r="C143" i="6"/>
  <c r="F143" i="6" s="1"/>
  <c r="G144" i="6"/>
  <c r="C202" i="6"/>
  <c r="F202" i="6" s="1"/>
  <c r="G203" i="6"/>
  <c r="G94" i="6"/>
  <c r="C93" i="6"/>
  <c r="F93" i="6" s="1"/>
  <c r="C66" i="6"/>
  <c r="G67" i="6"/>
  <c r="C217" i="6"/>
  <c r="F217" i="6" s="1"/>
  <c r="G218" i="6"/>
  <c r="G120" i="6"/>
  <c r="C119" i="6"/>
  <c r="F119" i="6" s="1"/>
  <c r="G333" i="18"/>
  <c r="E333" i="18"/>
  <c r="F333" i="18" s="1"/>
  <c r="C179" i="6"/>
  <c r="F179" i="6" s="1"/>
  <c r="G180" i="6"/>
  <c r="E9" i="1"/>
  <c r="G133" i="6"/>
  <c r="C132" i="6"/>
  <c r="F132" i="6" s="1"/>
  <c r="E13" i="3"/>
  <c r="F7" i="3"/>
  <c r="C166" i="6"/>
  <c r="F166" i="6" s="1"/>
  <c r="G167" i="6"/>
  <c r="C254" i="6"/>
  <c r="G255" i="6"/>
  <c r="G333" i="22"/>
  <c r="E333" i="22"/>
  <c r="F333" i="22" s="1"/>
  <c r="I114" i="6"/>
  <c r="C101" i="6"/>
  <c r="G20" i="6"/>
  <c r="C20" i="6" s="1"/>
  <c r="F20" i="6" s="1"/>
  <c r="C19" i="6"/>
  <c r="G41" i="6"/>
  <c r="C40" i="6"/>
  <c r="G156" i="6"/>
  <c r="C155" i="6"/>
  <c r="F155" i="6" s="1"/>
  <c r="G333" i="21"/>
  <c r="E333" i="21"/>
  <c r="F333" i="21" s="1"/>
  <c r="F88" i="6"/>
  <c r="G107" i="6"/>
  <c r="C106" i="6"/>
  <c r="F106" i="6" s="1"/>
  <c r="C241" i="6"/>
  <c r="F241" i="6" s="1"/>
  <c r="G242" i="6"/>
  <c r="G57" i="6"/>
  <c r="C56" i="6"/>
  <c r="F56" i="6" s="1"/>
  <c r="F304" i="6"/>
  <c r="C302" i="6"/>
  <c r="G192" i="6"/>
  <c r="C191" i="6"/>
  <c r="F191" i="6" s="1"/>
  <c r="G81" i="6"/>
  <c r="C80" i="6"/>
  <c r="C230" i="6"/>
  <c r="G233" i="6"/>
  <c r="G232" i="6"/>
  <c r="C232" i="6" s="1"/>
  <c r="F302" i="6" l="1"/>
  <c r="C277" i="6"/>
  <c r="F277" i="6" s="1"/>
  <c r="C107" i="6"/>
  <c r="F107" i="6" s="1"/>
  <c r="G108" i="6"/>
  <c r="G204" i="6"/>
  <c r="C203" i="6"/>
  <c r="F203" i="6" s="1"/>
  <c r="F66" i="6"/>
  <c r="C94" i="6"/>
  <c r="F94" i="6" s="1"/>
  <c r="G95" i="6"/>
  <c r="G243" i="6"/>
  <c r="C242" i="6"/>
  <c r="F242" i="6" s="1"/>
  <c r="F40" i="6"/>
  <c r="G258" i="6"/>
  <c r="G257" i="6"/>
  <c r="C257" i="6" s="1"/>
  <c r="C255" i="6"/>
  <c r="F255" i="6" s="1"/>
  <c r="F80" i="6"/>
  <c r="G168" i="6"/>
  <c r="C167" i="6"/>
  <c r="F167" i="6" s="1"/>
  <c r="F13" i="3"/>
  <c r="E14" i="3"/>
  <c r="F14" i="3" s="1"/>
  <c r="C144" i="6"/>
  <c r="F144" i="6" s="1"/>
  <c r="G145" i="6"/>
  <c r="G60" i="6"/>
  <c r="C60" i="6" s="1"/>
  <c r="F60" i="6" s="1"/>
  <c r="C57" i="6"/>
  <c r="F57" i="6" s="1"/>
  <c r="G59" i="6"/>
  <c r="C59" i="6" s="1"/>
  <c r="F59" i="6" s="1"/>
  <c r="F19" i="6"/>
  <c r="C8" i="6"/>
  <c r="G121" i="6"/>
  <c r="C120" i="6"/>
  <c r="F120" i="6" s="1"/>
  <c r="C218" i="6"/>
  <c r="F218" i="6" s="1"/>
  <c r="G219" i="6"/>
  <c r="C192" i="6"/>
  <c r="F192" i="6" s="1"/>
  <c r="G193" i="6"/>
  <c r="C156" i="6"/>
  <c r="F156" i="6" s="1"/>
  <c r="G157" i="6"/>
  <c r="F101" i="6"/>
  <c r="G29" i="6"/>
  <c r="C28" i="6"/>
  <c r="G234" i="6"/>
  <c r="C234" i="6" s="1"/>
  <c r="F234" i="6" s="1"/>
  <c r="C233" i="6"/>
  <c r="F233" i="6" s="1"/>
  <c r="F230" i="6"/>
  <c r="G181" i="6"/>
  <c r="C180" i="6"/>
  <c r="F180" i="6" s="1"/>
  <c r="F254" i="6"/>
  <c r="C81" i="6"/>
  <c r="F81" i="6" s="1"/>
  <c r="G82" i="6"/>
  <c r="G42" i="6"/>
  <c r="C41" i="6"/>
  <c r="F41" i="6" s="1"/>
  <c r="C114" i="6"/>
  <c r="I126" i="6"/>
  <c r="C133" i="6"/>
  <c r="F133" i="6" s="1"/>
  <c r="G135" i="6"/>
  <c r="G70" i="6"/>
  <c r="C70" i="6" s="1"/>
  <c r="F70" i="6" s="1"/>
  <c r="C67" i="6"/>
  <c r="F67" i="6" s="1"/>
  <c r="G69" i="6"/>
  <c r="C69" i="6" s="1"/>
  <c r="F69" i="6" s="1"/>
  <c r="G85" i="6" l="1"/>
  <c r="C82" i="6"/>
  <c r="F82" i="6" s="1"/>
  <c r="G169" i="6"/>
  <c r="C168" i="6"/>
  <c r="F168" i="6" s="1"/>
  <c r="F8" i="6"/>
  <c r="G183" i="6"/>
  <c r="C181" i="6"/>
  <c r="F181" i="6" s="1"/>
  <c r="C62" i="6"/>
  <c r="F62" i="6" s="1"/>
  <c r="C135" i="6"/>
  <c r="F135" i="6" s="1"/>
  <c r="G136" i="6"/>
  <c r="C136" i="6" s="1"/>
  <c r="F136" i="6" s="1"/>
  <c r="G195" i="6"/>
  <c r="C193" i="6"/>
  <c r="F193" i="6" s="1"/>
  <c r="C223" i="6"/>
  <c r="F223" i="6" s="1"/>
  <c r="G244" i="6"/>
  <c r="C243" i="6"/>
  <c r="F243" i="6" s="1"/>
  <c r="G98" i="6"/>
  <c r="C95" i="6"/>
  <c r="C157" i="6"/>
  <c r="F157" i="6" s="1"/>
  <c r="G159" i="6"/>
  <c r="C126" i="6"/>
  <c r="I138" i="6"/>
  <c r="C108" i="6"/>
  <c r="G111" i="6"/>
  <c r="C52" i="6"/>
  <c r="F52" i="6" s="1"/>
  <c r="C34" i="6"/>
  <c r="F34" i="6" s="1"/>
  <c r="C121" i="6"/>
  <c r="F121" i="6" s="1"/>
  <c r="G123" i="6"/>
  <c r="G205" i="6"/>
  <c r="C204" i="6"/>
  <c r="F204" i="6" s="1"/>
  <c r="F114" i="6"/>
  <c r="G147" i="6"/>
  <c r="C145" i="6"/>
  <c r="F145" i="6" s="1"/>
  <c r="G221" i="6"/>
  <c r="C219" i="6"/>
  <c r="F219" i="6" s="1"/>
  <c r="C258" i="6"/>
  <c r="G259" i="6"/>
  <c r="C259" i="6" s="1"/>
  <c r="F259" i="6" s="1"/>
  <c r="F28" i="6"/>
  <c r="C21" i="6"/>
  <c r="F21" i="6" s="1"/>
  <c r="G46" i="6"/>
  <c r="C46" i="6" s="1"/>
  <c r="F46" i="6" s="1"/>
  <c r="C42" i="6"/>
  <c r="F42" i="6" s="1"/>
  <c r="G45" i="6"/>
  <c r="C45" i="6" s="1"/>
  <c r="F45" i="6" s="1"/>
  <c r="G32" i="6"/>
  <c r="C32" i="6" s="1"/>
  <c r="F32" i="6" s="1"/>
  <c r="C29" i="6"/>
  <c r="F29" i="6" s="1"/>
  <c r="G33" i="6"/>
  <c r="C33" i="6" s="1"/>
  <c r="F33" i="6" s="1"/>
  <c r="E16" i="3"/>
  <c r="C183" i="6" l="1"/>
  <c r="F183" i="6" s="1"/>
  <c r="G184" i="6"/>
  <c r="C184" i="6" s="1"/>
  <c r="F184" i="6" s="1"/>
  <c r="F258" i="6"/>
  <c r="C248" i="6"/>
  <c r="F248" i="6" s="1"/>
  <c r="E4" i="1"/>
  <c r="I8" i="6"/>
  <c r="C6" i="6"/>
  <c r="I21" i="6"/>
  <c r="G124" i="6"/>
  <c r="C124" i="6" s="1"/>
  <c r="F124" i="6" s="1"/>
  <c r="C123" i="6"/>
  <c r="F123" i="6" s="1"/>
  <c r="I223" i="6"/>
  <c r="G160" i="6"/>
  <c r="C160" i="6" s="1"/>
  <c r="F160" i="6" s="1"/>
  <c r="C159" i="6"/>
  <c r="F159" i="6" s="1"/>
  <c r="C221" i="6"/>
  <c r="F221" i="6" s="1"/>
  <c r="G222" i="6"/>
  <c r="C222" i="6" s="1"/>
  <c r="F222" i="6" s="1"/>
  <c r="C147" i="6"/>
  <c r="F147" i="6" s="1"/>
  <c r="G148" i="6"/>
  <c r="C148" i="6" s="1"/>
  <c r="F148" i="6" s="1"/>
  <c r="C138" i="6"/>
  <c r="I150" i="6"/>
  <c r="C125" i="6"/>
  <c r="F125" i="6" s="1"/>
  <c r="F126" i="6"/>
  <c r="C98" i="6"/>
  <c r="F98" i="6" s="1"/>
  <c r="G99" i="6"/>
  <c r="C99" i="6" s="1"/>
  <c r="F99" i="6" s="1"/>
  <c r="I52" i="6"/>
  <c r="E10" i="1"/>
  <c r="G196" i="6"/>
  <c r="C196" i="6" s="1"/>
  <c r="F196" i="6" s="1"/>
  <c r="C195" i="6"/>
  <c r="F195" i="6" s="1"/>
  <c r="C111" i="6"/>
  <c r="F111" i="6" s="1"/>
  <c r="G112" i="6"/>
  <c r="C112" i="6" s="1"/>
  <c r="F112" i="6" s="1"/>
  <c r="E22" i="3"/>
  <c r="F16" i="3"/>
  <c r="F95" i="6"/>
  <c r="C87" i="6"/>
  <c r="F87" i="6" s="1"/>
  <c r="I34" i="6"/>
  <c r="E5" i="1"/>
  <c r="C113" i="6"/>
  <c r="F113" i="6" s="1"/>
  <c r="C169" i="6"/>
  <c r="F169" i="6" s="1"/>
  <c r="G171" i="6"/>
  <c r="C244" i="6"/>
  <c r="F244" i="6" s="1"/>
  <c r="G246" i="6"/>
  <c r="C205" i="6"/>
  <c r="F205" i="6" s="1"/>
  <c r="G207" i="6"/>
  <c r="F108" i="6"/>
  <c r="C100" i="6"/>
  <c r="F100" i="6" s="1"/>
  <c r="I62" i="6"/>
  <c r="C85" i="6"/>
  <c r="G86" i="6"/>
  <c r="C86" i="6" s="1"/>
  <c r="F86" i="6" s="1"/>
  <c r="I100" i="6" l="1"/>
  <c r="E8" i="1"/>
  <c r="F22" i="3"/>
  <c r="E23" i="3"/>
  <c r="I87" i="6"/>
  <c r="G172" i="6"/>
  <c r="C172" i="6" s="1"/>
  <c r="F172" i="6" s="1"/>
  <c r="C171" i="6"/>
  <c r="F171" i="6" s="1"/>
  <c r="I248" i="6"/>
  <c r="G208" i="6"/>
  <c r="C208" i="6" s="1"/>
  <c r="F208" i="6" s="1"/>
  <c r="C207" i="6"/>
  <c r="F207" i="6" s="1"/>
  <c r="G247" i="6"/>
  <c r="C247" i="6" s="1"/>
  <c r="F247" i="6" s="1"/>
  <c r="C246" i="6"/>
  <c r="F246" i="6" s="1"/>
  <c r="I113" i="6"/>
  <c r="C150" i="6"/>
  <c r="I162" i="6"/>
  <c r="I125" i="6"/>
  <c r="F85" i="6"/>
  <c r="C74" i="6"/>
  <c r="C137" i="6"/>
  <c r="F137" i="6" s="1"/>
  <c r="F138" i="6"/>
  <c r="F6" i="6"/>
  <c r="F23" i="3" l="1"/>
  <c r="G21" i="3" s="1"/>
  <c r="G23" i="3" s="1"/>
  <c r="G22" i="3"/>
  <c r="C162" i="6"/>
  <c r="I174" i="6"/>
  <c r="I137" i="6"/>
  <c r="F150" i="6"/>
  <c r="C149" i="6"/>
  <c r="F149" i="6" s="1"/>
  <c r="F74" i="6"/>
  <c r="C174" i="6" l="1"/>
  <c r="I186" i="6"/>
  <c r="I74" i="6"/>
  <c r="E6" i="1"/>
  <c r="C161" i="6"/>
  <c r="F162" i="6"/>
  <c r="I149" i="6"/>
  <c r="F161" i="6" l="1"/>
  <c r="C186" i="6"/>
  <c r="I198" i="6"/>
  <c r="C173" i="6"/>
  <c r="F173" i="6" s="1"/>
  <c r="F174" i="6"/>
  <c r="I173" i="6" l="1"/>
  <c r="C198" i="6"/>
  <c r="I212" i="6"/>
  <c r="C185" i="6"/>
  <c r="F185" i="6" s="1"/>
  <c r="F186" i="6"/>
  <c r="I161" i="6"/>
  <c r="I185" i="6" l="1"/>
  <c r="I237" i="6"/>
  <c r="C237" i="6" s="1"/>
  <c r="C212" i="6"/>
  <c r="F198" i="6"/>
  <c r="C197" i="6"/>
  <c r="F197" i="6" l="1"/>
  <c r="C73" i="6"/>
  <c r="C211" i="6"/>
  <c r="F212" i="6"/>
  <c r="F237" i="6"/>
  <c r="C236" i="6"/>
  <c r="C235" i="6" l="1"/>
  <c r="F235" i="6" s="1"/>
  <c r="F236" i="6"/>
  <c r="F211" i="6"/>
  <c r="C210" i="6"/>
  <c r="F73" i="6"/>
  <c r="I197" i="6"/>
  <c r="E11" i="1"/>
  <c r="C209" i="6" l="1"/>
  <c r="F210" i="6"/>
  <c r="I211" i="6"/>
  <c r="I236" i="6"/>
  <c r="E7" i="1"/>
  <c r="E12" i="1" l="1"/>
  <c r="E26" i="1" s="1"/>
  <c r="F26" i="1" s="1"/>
  <c r="F209" i="6"/>
  <c r="C5" i="6"/>
  <c r="F5" i="6" s="1"/>
  <c r="E330" i="6" l="1"/>
  <c r="F386" i="6"/>
  <c r="E351" i="6"/>
  <c r="F351" i="6" s="1"/>
  <c r="E346" i="6"/>
  <c r="F346" i="6" s="1"/>
  <c r="E345" i="6"/>
  <c r="F345" i="6" s="1"/>
  <c r="E340" i="6"/>
  <c r="E349" i="6"/>
  <c r="F349" i="6" s="1"/>
  <c r="E363" i="6"/>
  <c r="F363" i="6" s="1"/>
  <c r="E344" i="6"/>
  <c r="E339" i="6"/>
  <c r="E348" i="6"/>
  <c r="F348" i="6" s="1"/>
  <c r="E25" i="1"/>
  <c r="E354" i="6" l="1"/>
  <c r="F354" i="6" s="1"/>
  <c r="F339" i="6"/>
  <c r="E21" i="1"/>
  <c r="E342" i="6"/>
  <c r="F342" i="6" s="1"/>
  <c r="E341" i="6"/>
  <c r="F341" i="6" s="1"/>
  <c r="F340" i="6"/>
  <c r="E353" i="6"/>
  <c r="F344" i="6"/>
  <c r="F25" i="1"/>
  <c r="E355" i="6"/>
  <c r="F355" i="6" s="1"/>
  <c r="F330" i="6"/>
  <c r="E352" i="6" l="1"/>
  <c r="F353" i="6"/>
  <c r="E27" i="1"/>
  <c r="E24" i="1"/>
  <c r="E338" i="6"/>
  <c r="F338" i="6" s="1"/>
  <c r="F27" i="1" l="1"/>
  <c r="F28" i="1" s="1"/>
  <c r="F29" i="1" s="1"/>
  <c r="E28" i="1"/>
  <c r="F352" i="6"/>
  <c r="E350" i="6"/>
  <c r="F350" i="6" s="1"/>
  <c r="C300" i="23"/>
  <c r="F300" i="18"/>
  <c r="E300" i="18"/>
  <c r="L386" i="6"/>
  <c r="L384" i="6"/>
  <c r="C300" i="20"/>
  <c r="G385" i="6"/>
  <c r="M372" i="6"/>
  <c r="E357" i="6"/>
  <c r="F357" i="6"/>
  <c r="M357" i="6"/>
  <c r="C300" i="22"/>
  <c r="G392" i="6"/>
  <c r="M377" i="6"/>
  <c r="G389" i="6"/>
  <c r="M364" i="6"/>
  <c r="M332" i="6"/>
  <c r="F332" i="6"/>
  <c r="M343" i="6"/>
  <c r="F343" i="6"/>
  <c r="E343" i="6"/>
  <c r="G391" i="6"/>
  <c r="M373" i="6"/>
  <c r="G393" i="6"/>
  <c r="M378" i="6"/>
  <c r="M356" i="6"/>
  <c r="F356" i="6"/>
  <c r="E356" i="6"/>
  <c r="M329" i="6"/>
  <c r="F329" i="6"/>
  <c r="C300" i="18"/>
  <c r="E332" i="6"/>
  <c r="E331" i="6"/>
  <c r="F331" i="6"/>
  <c r="M331" i="6"/>
  <c r="C300" i="21"/>
  <c r="G300" i="21"/>
  <c r="F300" i="24"/>
  <c r="E300" i="24"/>
  <c r="D300" i="24"/>
  <c r="C300" i="24"/>
  <c r="F387" i="6"/>
  <c r="M347" i="6"/>
  <c r="E347" i="6"/>
  <c r="F347" i="6"/>
  <c r="G386" i="6"/>
  <c r="M5" i="6"/>
  <c r="F300" i="22"/>
  <c r="E300" i="22"/>
  <c r="F300" i="20"/>
  <c r="E300" i="20"/>
  <c r="D300" i="18"/>
  <c r="G300" i="18"/>
  <c r="F385" i="6"/>
  <c r="D300" i="21"/>
  <c r="E300" i="21"/>
  <c r="F300" i="21"/>
  <c r="M325" i="6"/>
  <c r="G387" i="6"/>
  <c r="E300" i="23"/>
  <c r="D300" i="23"/>
  <c r="G300" i="23"/>
  <c r="M326" i="6"/>
  <c r="M66" i="6"/>
  <c r="M23" i="6"/>
  <c r="M217" i="6"/>
  <c r="M102" i="6"/>
  <c r="M180" i="6"/>
  <c r="M339" i="6"/>
  <c r="M199" i="6"/>
  <c r="M202" i="6"/>
  <c r="M98" i="6"/>
  <c r="M359" i="6"/>
  <c r="M141" i="6"/>
  <c r="M205" i="6"/>
  <c r="M170" i="6"/>
  <c r="M104" i="6"/>
  <c r="M29" i="6"/>
  <c r="M231" i="6"/>
  <c r="M188" i="6"/>
  <c r="M143" i="6"/>
  <c r="M137" i="6"/>
  <c r="M206" i="6"/>
  <c r="M63" i="6"/>
  <c r="M247" i="6"/>
  <c r="M261" i="6"/>
  <c r="M165" i="6"/>
  <c r="M242" i="6"/>
  <c r="M46" i="6"/>
  <c r="M74" i="6"/>
  <c r="M366" i="6"/>
  <c r="M340" i="6"/>
  <c r="M309" i="6"/>
  <c r="M133" i="6"/>
  <c r="M337" i="6"/>
  <c r="M37" i="6"/>
  <c r="M156" i="6"/>
  <c r="M354" i="6"/>
  <c r="M362" i="6"/>
  <c r="M27" i="6"/>
  <c r="M241" i="6"/>
  <c r="M163" i="6"/>
  <c r="M239" i="6"/>
  <c r="M145" i="6"/>
  <c r="S361" i="6"/>
  <c r="M134" i="6"/>
  <c r="M204" i="6"/>
  <c r="M224" i="6"/>
  <c r="M40" i="6"/>
  <c r="M197" i="6"/>
  <c r="M312" i="6"/>
  <c r="M96" i="6"/>
  <c r="M305" i="6"/>
  <c r="M192" i="6"/>
  <c r="M114" i="6"/>
  <c r="M73" i="6"/>
  <c r="M290" i="6"/>
  <c r="M99" i="6"/>
  <c r="M38" i="6"/>
  <c r="M330" i="6"/>
  <c r="M153" i="6"/>
  <c r="M112" i="6"/>
  <c r="M282" i="6"/>
  <c r="M194" i="6"/>
  <c r="M181" i="6"/>
  <c r="M68" i="6"/>
  <c r="M175" i="6"/>
  <c r="M304" i="6"/>
  <c r="M316" i="6"/>
  <c r="M103" i="6"/>
  <c r="M220" i="6"/>
  <c r="M296" i="6"/>
  <c r="M107" i="6"/>
  <c r="M149" i="6"/>
  <c r="M272" i="6"/>
  <c r="M367" i="6"/>
  <c r="M8" i="6"/>
  <c r="F393" i="6"/>
  <c r="M376" i="6"/>
  <c r="M110" i="6"/>
  <c r="M129" i="6"/>
  <c r="M152" i="6"/>
  <c r="M228" i="6"/>
  <c r="M57" i="6"/>
  <c r="M87" i="6"/>
  <c r="M211" i="6"/>
  <c r="M274" i="6"/>
  <c r="M253" i="6"/>
  <c r="M122" i="6"/>
  <c r="M123" i="6"/>
  <c r="M44" i="6"/>
  <c r="M56" i="6"/>
  <c r="M11" i="6"/>
  <c r="M334" i="6"/>
  <c r="M147" i="6"/>
  <c r="M83" i="6"/>
  <c r="M361" i="6"/>
  <c r="M251" i="6"/>
  <c r="M79" i="6"/>
  <c r="M121" i="6"/>
  <c r="M109" i="6"/>
  <c r="M75" i="6"/>
  <c r="M151" i="6"/>
  <c r="M320" i="6"/>
  <c r="M158" i="6"/>
  <c r="M14" i="6"/>
  <c r="M22" i="6"/>
  <c r="M39" i="6"/>
  <c r="M41" i="6"/>
  <c r="M221" i="6"/>
  <c r="M236" i="6"/>
  <c r="M201" i="6"/>
  <c r="M45" i="6"/>
  <c r="M150" i="6"/>
  <c r="M371" i="6"/>
  <c r="M182" i="6"/>
  <c r="M200" i="6"/>
  <c r="M119" i="6"/>
  <c r="M100" i="6"/>
  <c r="M210" i="6"/>
  <c r="M213" i="6"/>
  <c r="M249" i="6"/>
  <c r="M189" i="6"/>
  <c r="M117" i="6"/>
  <c r="M118" i="6"/>
  <c r="M216" i="6"/>
  <c r="M93" i="6"/>
  <c r="M70" i="6"/>
  <c r="M19" i="6"/>
  <c r="M243" i="6"/>
  <c r="M223" i="6"/>
  <c r="M248" i="6"/>
  <c r="M95" i="6"/>
  <c r="M171" i="6"/>
  <c r="M185" i="6"/>
  <c r="M348" i="6"/>
  <c r="M352" i="6"/>
  <c r="M230" i="6"/>
  <c r="M258" i="6"/>
  <c r="M235" i="6"/>
  <c r="M311" i="6"/>
  <c r="M227" i="6"/>
  <c r="M177" i="6"/>
  <c r="M101" i="6"/>
  <c r="M195" i="6"/>
  <c r="M375" i="6"/>
  <c r="M226" i="6"/>
  <c r="M306" i="6"/>
  <c r="M278" i="6"/>
  <c r="M59" i="6"/>
  <c r="M126" i="6"/>
  <c r="M174" i="6"/>
  <c r="D402" i="6"/>
  <c r="M286" i="6"/>
  <c r="M176" i="6"/>
  <c r="M307" i="6"/>
  <c r="M25" i="6"/>
  <c r="M155" i="6"/>
  <c r="M259" i="6"/>
  <c r="M196" i="6"/>
  <c r="M173" i="6"/>
  <c r="M345" i="6"/>
  <c r="M328" i="6"/>
  <c r="M276" i="6"/>
  <c r="M245" i="6"/>
  <c r="M64" i="6"/>
  <c r="M88" i="6"/>
  <c r="M148" i="6"/>
  <c r="M318" i="6"/>
  <c r="M128" i="6"/>
  <c r="M280" i="6"/>
  <c r="M9" i="6"/>
  <c r="M229" i="6"/>
  <c r="M132" i="6"/>
  <c r="M62" i="6"/>
  <c r="M183" i="6"/>
  <c r="M186" i="6"/>
  <c r="M317" i="6"/>
  <c r="M139" i="6"/>
  <c r="M336" i="6"/>
  <c r="M76" i="6"/>
  <c r="M303" i="6"/>
  <c r="M10" i="6"/>
  <c r="M146" i="6"/>
  <c r="M238" i="6"/>
  <c r="M17" i="6"/>
  <c r="M24" i="6"/>
  <c r="M288" i="6"/>
  <c r="M116" i="6"/>
  <c r="M297" i="6"/>
  <c r="M54" i="6"/>
  <c r="M279" i="6"/>
  <c r="M178" i="6"/>
  <c r="M92" i="6"/>
  <c r="M179" i="6"/>
  <c r="M302" i="6"/>
  <c r="M67" i="6"/>
  <c r="M135" i="6"/>
  <c r="M157" i="6"/>
  <c r="M111" i="6"/>
  <c r="M244" i="6"/>
  <c r="M138" i="6"/>
  <c r="M198" i="6"/>
  <c r="M363" i="6"/>
  <c r="M16" i="6"/>
  <c r="M233" i="6"/>
  <c r="M169" i="6"/>
  <c r="M30" i="6"/>
  <c r="M84" i="6"/>
  <c r="M12" i="6"/>
  <c r="M105" i="6"/>
  <c r="M144" i="6"/>
  <c r="M219" i="6"/>
  <c r="M162" i="6"/>
  <c r="M342" i="6"/>
  <c r="M257" i="6"/>
  <c r="M250" i="6"/>
  <c r="M281" i="6"/>
  <c r="M154" i="6"/>
  <c r="M60" i="6"/>
  <c r="M34" i="6"/>
  <c r="M246" i="6"/>
  <c r="M370" i="6"/>
  <c r="M89" i="6"/>
  <c r="M291" i="6"/>
  <c r="M91" i="6"/>
  <c r="M120" i="6"/>
  <c r="M108" i="6"/>
  <c r="M374" i="6"/>
  <c r="M36" i="6"/>
  <c r="M115" i="6"/>
  <c r="M130" i="6"/>
  <c r="M190" i="6"/>
  <c r="M94" i="6"/>
  <c r="M136" i="6"/>
  <c r="M184" i="6"/>
  <c r="M172" i="6"/>
  <c r="M161" i="6"/>
  <c r="M353" i="6"/>
  <c r="M358" i="6"/>
  <c r="M287" i="6"/>
  <c r="M35" i="6"/>
  <c r="M69" i="6"/>
  <c r="M350" i="6"/>
  <c r="M327" i="6"/>
  <c r="M13" i="6"/>
  <c r="M313" i="6"/>
  <c r="M335" i="6"/>
  <c r="M18" i="6"/>
  <c r="M31" i="6"/>
  <c r="M256" i="6"/>
  <c r="M225" i="6"/>
  <c r="M140" i="6"/>
  <c r="M283" i="6"/>
  <c r="M215" i="6"/>
  <c r="M240" i="6"/>
  <c r="M26" i="6"/>
  <c r="M191" i="6"/>
  <c r="M203" i="6"/>
  <c r="M167" i="6"/>
  <c r="M32" i="6"/>
  <c r="M193" i="6"/>
  <c r="M124" i="6"/>
  <c r="M160" i="6"/>
  <c r="M6" i="6"/>
  <c r="M237" i="6"/>
  <c r="M349" i="6"/>
  <c r="M218" i="6"/>
  <c r="M21" i="6"/>
  <c r="M341" i="6"/>
  <c r="M72" i="6"/>
  <c r="M43" i="6"/>
  <c r="M142" i="6"/>
  <c r="M254" i="6"/>
  <c r="M125" i="6"/>
  <c r="M58" i="6"/>
  <c r="M77" i="6"/>
  <c r="M53" i="6"/>
  <c r="M166" i="6"/>
  <c r="M28" i="6"/>
  <c r="M159" i="6"/>
  <c r="M209" i="6"/>
  <c r="M355" i="6"/>
  <c r="M319" i="6"/>
  <c r="M289" i="6"/>
  <c r="M293" i="6"/>
  <c r="M78" i="6"/>
  <c r="M55" i="6"/>
  <c r="M277" i="6"/>
  <c r="M42" i="6"/>
  <c r="M208" i="6"/>
  <c r="M338" i="6"/>
  <c r="M368" i="6"/>
  <c r="M333" i="6"/>
  <c r="M214" i="6"/>
  <c r="M65" i="6"/>
  <c r="M255" i="6"/>
  <c r="M33" i="6"/>
  <c r="M346" i="6"/>
  <c r="M97" i="6"/>
  <c r="M324" i="6"/>
  <c r="M284" i="6"/>
  <c r="M164" i="6"/>
  <c r="M252" i="6"/>
  <c r="M80" i="6"/>
  <c r="M168" i="6"/>
  <c r="M86" i="6"/>
  <c r="M207" i="6"/>
  <c r="M351" i="6"/>
  <c r="M369" i="6"/>
  <c r="M310" i="6"/>
  <c r="M187" i="6"/>
  <c r="M90" i="6"/>
  <c r="M323" i="6"/>
  <c r="M127" i="6"/>
  <c r="M273" i="6"/>
  <c r="M360" i="6"/>
  <c r="M308" i="6"/>
  <c r="M260" i="6"/>
  <c r="M285" i="6"/>
  <c r="M292" i="6"/>
  <c r="M295" i="6"/>
  <c r="M15" i="6"/>
  <c r="M294" i="6"/>
  <c r="M131" i="6"/>
  <c r="M20" i="6"/>
  <c r="M106" i="6"/>
  <c r="M81" i="6"/>
  <c r="M234" i="6"/>
  <c r="M82" i="6"/>
  <c r="M52" i="6"/>
  <c r="M222" i="6"/>
  <c r="M113" i="6"/>
  <c r="M85" i="6"/>
  <c r="M212" i="6"/>
  <c r="M344" i="6"/>
  <c r="F389" i="6"/>
  <c r="E329" i="6"/>
  <c r="E325" i="6"/>
  <c r="F325" i="6"/>
  <c r="F364" i="6"/>
  <c r="F372" i="6"/>
  <c r="F378" i="6"/>
  <c r="M365" i="6"/>
  <c r="G390" i="6"/>
  <c r="D300" i="22"/>
  <c r="G300" i="22"/>
  <c r="D300" i="20"/>
  <c r="G300" i="20"/>
</calcChain>
</file>

<file path=xl/sharedStrings.xml><?xml version="1.0" encoding="utf-8"?>
<sst xmlns="http://schemas.openxmlformats.org/spreadsheetml/2006/main" count="12071" uniqueCount="1948">
  <si>
    <t>Attachment 1-China: Hubei Global Air Cargo Logistics Project----Procurement Plan (Updated Oct 2025)</t>
  </si>
  <si>
    <t>$1 = CNY</t>
  </si>
  <si>
    <t>AIIB Project Appraisal Mission Aide-Memoire</t>
  </si>
  <si>
    <t>Preparation Date</t>
  </si>
  <si>
    <t>2025.10.22</t>
  </si>
  <si>
    <t>Contract No.</t>
  </si>
  <si>
    <t>Contract Name</t>
  </si>
  <si>
    <t>Description of Contract Content</t>
  </si>
  <si>
    <t>Estimated Contract Price</t>
  </si>
  <si>
    <t>AIIB Loan</t>
  </si>
  <si>
    <t>Type of Contract</t>
  </si>
  <si>
    <t>Procurement Method</t>
  </si>
  <si>
    <t>Contract Period (Months)</t>
  </si>
  <si>
    <t>Review Method</t>
  </si>
  <si>
    <t>Adopted Type of Bidding Documents</t>
  </si>
  <si>
    <t>Advance Procurement</t>
  </si>
  <si>
    <t>Estimated Announcement Date</t>
  </si>
  <si>
    <t>Estimated Tender Opening Time</t>
  </si>
  <si>
    <t>Estimated Contract Signing Time</t>
  </si>
  <si>
    <t>Estimated Contract Completion Time</t>
  </si>
  <si>
    <t>Notes</t>
  </si>
  <si>
    <t>CNY (in 10,000 RMB)</t>
  </si>
  <si>
    <t>USD (in 10,000 USD)</t>
  </si>
  <si>
    <t xml:space="preserve">Percentage (%)	</t>
  </si>
  <si>
    <t>Component 1:</t>
  </si>
  <si>
    <t>Customs Operation and Bonded Facilities</t>
  </si>
  <si>
    <t>HGAC-CW03</t>
  </si>
  <si>
    <t>Bonded Logistics Warehouse (3)</t>
  </si>
  <si>
    <t>E01/E02 Standard Warehouses, with a total construction area of 44,150.04 m²</t>
  </si>
  <si>
    <t>CW</t>
  </si>
  <si>
    <t>NCT</t>
  </si>
  <si>
    <t>Prior</t>
  </si>
  <si>
    <t>AIIB-MTD for China NCT Works</t>
  </si>
  <si>
    <t>No</t>
  </si>
  <si>
    <t>——</t>
  </si>
  <si>
    <t>HGAC-CW04</t>
  </si>
  <si>
    <t>Bonded Logistics Warehouse (4)</t>
  </si>
  <si>
    <t>E03/E04 Standard Warehouses, with a total construction area of 44,150.04 m²</t>
  </si>
  <si>
    <t>HGAC-CW05</t>
  </si>
  <si>
    <t>Bonded Logistics Warehouse (5) and Auxiliary Works</t>
  </si>
  <si>
    <t>H01/H04 Logistics Warehouses, H05 Equipment Room, H06 Truck Ramp, H09 Elevated Platform, with a total construction area of 60,362.735 m²</t>
  </si>
  <si>
    <t>HGAC-CW06</t>
  </si>
  <si>
    <t>Bonded Logistics Warehouse (6) and Auxiliary Works</t>
  </si>
  <si>
    <t>H02/H03 Logistics Warehouses, H10 Elevated Platform, with a total construction area of 59,146.61 m²</t>
  </si>
  <si>
    <t>HGAC-CW07</t>
  </si>
  <si>
    <t>Bonded Logistics Warehouse (7) and Auxiliary Works</t>
  </si>
  <si>
    <t>E05/L01 Logistics Warehouses, H07 Equipment Room, H08 Truck Ramp, H11 Elevated Platform, with a total construction area of 60,092.98 m²</t>
  </si>
  <si>
    <t>Subtotal</t>
  </si>
  <si>
    <t>Component 2:</t>
  </si>
  <si>
    <t>Trade and Freight Service Facilities</t>
  </si>
  <si>
    <t>HGAC-CW08</t>
  </si>
  <si>
    <t>Trade and Freight Service Facilities (3)</t>
  </si>
  <si>
    <t>W01-C Comprehensive Office Building, with a construction area of 17,090 m²</t>
  </si>
  <si>
    <t>HGAC-CW13</t>
  </si>
  <si>
    <t>Other Works (Such as: Greening, Landscaping Works, etc.)</t>
  </si>
  <si>
    <t>Other works, including landscape greenery, landscape water features, landscape electrical systems, outdoor signs and plaques, etc.</t>
  </si>
  <si>
    <t>Component 3:</t>
  </si>
  <si>
    <t>Low-Carbon, Smart and Supporting Utilities</t>
  </si>
  <si>
    <t>HGAC-GD01</t>
  </si>
  <si>
    <t>Rooftop Photovoltaic (1)</t>
  </si>
  <si>
    <t>Procurement and Installation of Rooftop Photovoltaic Equipment for the Customs Inspection Center and Bonded Warehouses 1#-5# in Phase I (Starter Zone), with a total photovoltaic panel area of 26,163 m².</t>
  </si>
  <si>
    <t>Goods</t>
  </si>
  <si>
    <t>AIIB-MTD for China NCT Goods</t>
  </si>
  <si>
    <t>HGAC-GD02</t>
  </si>
  <si>
    <t>Rooftop Photovoltaic (2)</t>
  </si>
  <si>
    <t>Procurement and Installation of Rooftop Photovoltaic Equipment for Self-Constructed Buildings in the Southern Area (Bonded Warehouses 1#/2#/3# and Bonded Processing Buildings 1#/2#), with a total photovoltaic panel area of 42,695 m².</t>
  </si>
  <si>
    <t>HGAC-GD03</t>
  </si>
  <si>
    <t>Rooftop Photovoltaic (3)</t>
  </si>
  <si>
    <t>Procurement and Installation of Rooftop Photovoltaic Equipment for All Buildings in the Northern Area (Funded by AIIB) North of Wuchu Avenue, including S01 Duty-Free Service Center, W01 Comprehensive Office Building, T01 Inspection Site, E01/E02/E03/E04 Standard Warehouses, and H01/H02/H03/H04/E05/J01/K01/L01/M01-A/M01-B Logistics Warehouses, with a total photovoltaic panel area of 95,717 m².</t>
  </si>
  <si>
    <t>HGAC-GD04</t>
  </si>
  <si>
    <t>Smart Operation System (1)</t>
  </si>
  <si>
    <t>South of Wuchu Avenue: Equipment and Software for the Smart Operation System of the Park, covering the Commercial Logistics Center, Warehouses 1-5, Customs Inspection Center, International Cargo Terminal 1#, International Cargo Terminal 2#, T01 Inspection Site, J01/K01/M01-A/M01-B, S01 Duty-Free Service Center, and W01 Comprehensive Office Building; Outdoor Works: Video Surveillance System, Parking Management System, and Public Address System; Exhibition Design and Setup for the Smart Operation Center.</t>
  </si>
  <si>
    <t>HGAC-GD05</t>
  </si>
  <si>
    <t>Smart Operation System (2)</t>
  </si>
  <si>
    <t>North of Wuchu Avenue: Smart Operation System Equipment for E01/E02/E03/E04 Standard Warehouses and H01/H02/H03/H04/E05/L01 Logistics Warehouses; Outdoor Works: Video Surveillance System, Parking Management System, Public Address System, and Weak Current Pipeline Network Project, etc.</t>
  </si>
  <si>
    <t>Post-review</t>
  </si>
  <si>
    <t>HGAC-GD06</t>
  </si>
  <si>
    <t>Integrated Digital Platform</t>
  </si>
  <si>
    <t>Smart Customs Auxiliary Supervision Platform, Application Support Platform, Enterprise Customs Clearance Service Platform, Multimodal Transport Platform, Park Vehicle and Pedestrian Control Equipment, Park Video Equipment, Park Office Informatization Equipment, Park Safety/Energy Efficiency/Fire-Fighting Equipment, Digital Loading Docks, Digital Warehouses, One-Stop Security Inspection Area, and Quarantine Processing Area, etc.</t>
  </si>
  <si>
    <t>IOCT</t>
  </si>
  <si>
    <t xml:space="preserve">AIIB SPD for  Goods </t>
  </si>
  <si>
    <t>HGAC-GD07</t>
  </si>
  <si>
    <t>Others</t>
  </si>
  <si>
    <t>Component 4:</t>
  </si>
  <si>
    <t>Capacity Building</t>
  </si>
  <si>
    <t>HGAC-CS01</t>
  </si>
  <si>
    <t>Project Management</t>
  </si>
  <si>
    <t>Technical Support for Project Management, Training, Study Tours, Development and Promotion of Knowledge Products, etc.</t>
  </si>
  <si>
    <t>Consulting Services</t>
  </si>
  <si>
    <t>IOCS/QCBS</t>
  </si>
  <si>
    <t xml:space="preserve">AIIB SPD for Consulting Service </t>
  </si>
  <si>
    <t>HGAC-CS04</t>
  </si>
  <si>
    <t>International Green Building Certification</t>
  </si>
  <si>
    <t>Certification for New Buildings Related to International Green Building</t>
  </si>
  <si>
    <t>HGAC-CS05</t>
  </si>
  <si>
    <t>Consulting on Three-Star Green Building Certification</t>
  </si>
  <si>
    <t>Three-Star Green Building Certification for New Domestic Buildings</t>
  </si>
  <si>
    <t>NCS/CQS</t>
  </si>
  <si>
    <t>HGAC-CS06</t>
  </si>
  <si>
    <t>Research on Innovative Topics of Customs Supervision Model</t>
  </si>
  <si>
    <t>HGAC-CS07</t>
  </si>
  <si>
    <t>Research on Innovative Topics of Integrated Multi-Inspection</t>
  </si>
  <si>
    <t>HGAC-CS08</t>
  </si>
  <si>
    <t>Research on Innovative Topics of Multimodal Transport</t>
  </si>
  <si>
    <t>Total</t>
  </si>
  <si>
    <r>
      <rPr>
        <b/>
        <sz val="14"/>
        <color theme="1"/>
        <rFont val="宋体"/>
        <charset val="134"/>
      </rPr>
      <t>附件</t>
    </r>
    <r>
      <rPr>
        <b/>
        <sz val="14"/>
        <color theme="1"/>
        <rFont val="Calibri"/>
        <charset val="134"/>
      </rPr>
      <t>1-</t>
    </r>
    <r>
      <rPr>
        <b/>
        <sz val="14"/>
        <color theme="1"/>
        <rFont val="宋体"/>
        <charset val="134"/>
      </rPr>
      <t>亚投行贷款湖北航空货运产业园项目采购计划</t>
    </r>
    <r>
      <rPr>
        <b/>
        <sz val="14"/>
        <color theme="1"/>
        <rFont val="Calibri"/>
        <charset val="134"/>
      </rPr>
      <t xml:space="preserve"> (2024</t>
    </r>
    <r>
      <rPr>
        <b/>
        <sz val="14"/>
        <color theme="1"/>
        <rFont val="宋体"/>
        <charset val="134"/>
      </rPr>
      <t>年</t>
    </r>
    <r>
      <rPr>
        <b/>
        <sz val="14"/>
        <color theme="1"/>
        <rFont val="Calibri"/>
        <charset val="134"/>
      </rPr>
      <t>12</t>
    </r>
    <r>
      <rPr>
        <b/>
        <sz val="14"/>
        <color theme="1"/>
        <rFont val="宋体"/>
        <charset val="134"/>
      </rPr>
      <t>月更新</t>
    </r>
    <r>
      <rPr>
        <b/>
        <sz val="14"/>
        <color theme="1"/>
        <rFont val="Calibri"/>
        <charset val="134"/>
      </rPr>
      <t>)</t>
    </r>
  </si>
  <si>
    <r>
      <rPr>
        <sz val="10"/>
        <color theme="1"/>
        <rFont val="Arial"/>
        <charset val="134"/>
      </rPr>
      <t>1</t>
    </r>
    <r>
      <rPr>
        <sz val="10"/>
        <color theme="1"/>
        <rFont val="等线 Light"/>
        <charset val="134"/>
      </rPr>
      <t>美元</t>
    </r>
    <r>
      <rPr>
        <sz val="10"/>
        <color theme="1"/>
        <rFont val="Arial"/>
        <charset val="134"/>
      </rPr>
      <t>=</t>
    </r>
    <r>
      <rPr>
        <sz val="10"/>
        <color theme="1"/>
        <rFont val="等线 Light"/>
        <charset val="134"/>
      </rPr>
      <t>人民币</t>
    </r>
  </si>
  <si>
    <t>亚投行项目评估考察备忘录</t>
  </si>
  <si>
    <r>
      <rPr>
        <b/>
        <sz val="10"/>
        <color theme="1"/>
        <rFont val="等线 Light"/>
        <charset val="134"/>
      </rPr>
      <t>合同编号</t>
    </r>
  </si>
  <si>
    <r>
      <rPr>
        <b/>
        <sz val="10"/>
        <color theme="1"/>
        <rFont val="宋体"/>
        <charset val="134"/>
      </rPr>
      <t>合同名称</t>
    </r>
  </si>
  <si>
    <r>
      <rPr>
        <b/>
        <sz val="10"/>
        <color theme="1"/>
        <rFont val="宋体"/>
        <charset val="134"/>
      </rPr>
      <t>合同内容描述</t>
    </r>
  </si>
  <si>
    <r>
      <rPr>
        <b/>
        <sz val="10"/>
        <color theme="1"/>
        <rFont val="等线 Light"/>
        <charset val="134"/>
      </rPr>
      <t>合同估算价</t>
    </r>
  </si>
  <si>
    <t>亚投行贷款</t>
  </si>
  <si>
    <r>
      <rPr>
        <b/>
        <sz val="10"/>
        <color theme="1"/>
        <rFont val="等线 Light"/>
        <charset val="134"/>
      </rPr>
      <t>合同类型</t>
    </r>
  </si>
  <si>
    <r>
      <rPr>
        <b/>
        <sz val="10"/>
        <color theme="1"/>
        <rFont val="等线 Light"/>
        <charset val="134"/>
      </rPr>
      <t>采购方式</t>
    </r>
  </si>
  <si>
    <t>合同期
(月)</t>
  </si>
  <si>
    <t>审查
方式</t>
  </si>
  <si>
    <r>
      <rPr>
        <b/>
        <sz val="10"/>
        <color theme="1"/>
        <rFont val="等线 Light"/>
        <charset val="134"/>
      </rPr>
      <t>采用招标文件类型</t>
    </r>
  </si>
  <si>
    <t>提前
采购</t>
  </si>
  <si>
    <r>
      <rPr>
        <b/>
        <sz val="10"/>
        <color theme="1"/>
        <rFont val="等线 Light"/>
        <charset val="134"/>
      </rPr>
      <t>追溯贷款</t>
    </r>
  </si>
  <si>
    <t>预计
公告日期</t>
  </si>
  <si>
    <t>预计
开标时间</t>
  </si>
  <si>
    <t>预计合同
签订时间</t>
  </si>
  <si>
    <t>预计合同
完成时间</t>
  </si>
  <si>
    <r>
      <rPr>
        <b/>
        <sz val="10"/>
        <color theme="1"/>
        <rFont val="等线 Light"/>
        <charset val="134"/>
      </rPr>
      <t>备注</t>
    </r>
  </si>
  <si>
    <r>
      <rPr>
        <b/>
        <sz val="10"/>
        <color theme="1"/>
        <rFont val="等线 Light"/>
        <charset val="134"/>
      </rPr>
      <t>人民币</t>
    </r>
    <r>
      <rPr>
        <b/>
        <sz val="10"/>
        <color theme="1"/>
        <rFont val="Arial"/>
        <charset val="134"/>
      </rPr>
      <t xml:space="preserve"> (</t>
    </r>
    <r>
      <rPr>
        <b/>
        <sz val="10"/>
        <color theme="1"/>
        <rFont val="等线 Light"/>
        <charset val="134"/>
      </rPr>
      <t>万元)</t>
    </r>
  </si>
  <si>
    <t>美元 (万元)</t>
  </si>
  <si>
    <t>占比 (%)</t>
  </si>
  <si>
    <r>
      <rPr>
        <b/>
        <sz val="10"/>
        <color theme="1"/>
        <rFont val="宋体"/>
        <charset val="134"/>
      </rPr>
      <t>组成部分</t>
    </r>
    <r>
      <rPr>
        <b/>
        <sz val="10"/>
        <color theme="1"/>
        <rFont val="Arial"/>
        <charset val="134"/>
      </rPr>
      <t>1</t>
    </r>
    <r>
      <rPr>
        <b/>
        <sz val="10"/>
        <color theme="1"/>
        <rFont val="Arial"/>
        <charset val="134"/>
      </rPr>
      <t xml:space="preserve">: </t>
    </r>
  </si>
  <si>
    <t>海关业务和保税设施</t>
  </si>
  <si>
    <t>HGAC-CW01</t>
  </si>
  <si>
    <t>海关运营设施</t>
  </si>
  <si>
    <r>
      <rPr>
        <sz val="10"/>
        <color theme="1"/>
        <rFont val="Arial"/>
        <charset val="134"/>
      </rPr>
      <t xml:space="preserve">(1) </t>
    </r>
    <r>
      <rPr>
        <sz val="10"/>
        <color theme="1"/>
        <rFont val="宋体"/>
        <charset val="134"/>
      </rPr>
      <t>海关查验仓库</t>
    </r>
    <r>
      <rPr>
        <sz val="10"/>
        <color theme="1"/>
        <rFont val="Arial"/>
        <charset val="134"/>
      </rPr>
      <t>T01</t>
    </r>
    <r>
      <rPr>
        <sz val="10"/>
        <color theme="1"/>
        <rFont val="宋体"/>
        <charset val="134"/>
      </rPr>
      <t>，面积</t>
    </r>
    <r>
      <rPr>
        <sz val="10"/>
        <color theme="1"/>
        <rFont val="Arial"/>
        <charset val="134"/>
      </rPr>
      <t xml:space="preserve">10,911 m2 ; (2) </t>
    </r>
    <r>
      <rPr>
        <sz val="10"/>
        <color theme="1"/>
        <rFont val="宋体"/>
        <charset val="134"/>
      </rPr>
      <t>卡口与围网</t>
    </r>
    <r>
      <rPr>
        <sz val="10"/>
        <color theme="1"/>
        <rFont val="Arial"/>
        <charset val="134"/>
      </rPr>
      <t>: #2</t>
    </r>
    <r>
      <rPr>
        <sz val="10"/>
        <color theme="1"/>
        <rFont val="宋体"/>
        <charset val="134"/>
      </rPr>
      <t>海关卡口</t>
    </r>
    <r>
      <rPr>
        <sz val="10"/>
        <color theme="1"/>
        <rFont val="Arial"/>
        <charset val="134"/>
      </rPr>
      <t xml:space="preserve"> 949 m2</t>
    </r>
    <r>
      <rPr>
        <sz val="10"/>
        <color theme="1"/>
        <rFont val="宋体"/>
        <charset val="134"/>
      </rPr>
      <t>、围网</t>
    </r>
    <r>
      <rPr>
        <sz val="10"/>
        <color theme="1"/>
        <rFont val="Arial"/>
        <charset val="134"/>
      </rPr>
      <t>7,730 m</t>
    </r>
  </si>
  <si>
    <r>
      <rPr>
        <sz val="10"/>
        <color theme="1"/>
        <rFont val="等线 Light"/>
        <charset val="134"/>
      </rPr>
      <t>土建</t>
    </r>
  </si>
  <si>
    <r>
      <rPr>
        <sz val="10"/>
        <color theme="1"/>
        <rFont val="宋体"/>
        <charset val="134"/>
      </rPr>
      <t>后审</t>
    </r>
  </si>
  <si>
    <r>
      <rPr>
        <sz val="10"/>
        <color theme="1"/>
        <rFont val="等线 Light"/>
        <charset val="134"/>
      </rPr>
      <t>是</t>
    </r>
  </si>
  <si>
    <t>2025.5</t>
  </si>
  <si>
    <t>2026.12</t>
  </si>
  <si>
    <t>T01</t>
  </si>
  <si>
    <r>
      <rPr>
        <i/>
        <sz val="10"/>
        <color theme="1"/>
        <rFont val="Arial"/>
        <charset val="134"/>
      </rPr>
      <t xml:space="preserve">T01 </t>
    </r>
    <r>
      <rPr>
        <i/>
        <sz val="10"/>
        <color theme="1"/>
        <rFont val="宋体"/>
        <charset val="134"/>
      </rPr>
      <t>海关查验仓库</t>
    </r>
  </si>
  <si>
    <t>1.1.1</t>
  </si>
  <si>
    <r>
      <rPr>
        <i/>
        <sz val="10"/>
        <color theme="1"/>
        <rFont val="宋体"/>
        <charset val="134"/>
      </rPr>
      <t>土建工程</t>
    </r>
  </si>
  <si>
    <t>1.1.2</t>
  </si>
  <si>
    <r>
      <rPr>
        <i/>
        <sz val="10"/>
        <color theme="1"/>
        <rFont val="宋体"/>
        <charset val="134"/>
      </rPr>
      <t>给排水工程</t>
    </r>
  </si>
  <si>
    <t>1.1.3</t>
  </si>
  <si>
    <r>
      <rPr>
        <i/>
        <sz val="10"/>
        <color theme="1"/>
        <rFont val="宋体"/>
        <charset val="134"/>
      </rPr>
      <t>电气工程</t>
    </r>
  </si>
  <si>
    <t>1.1.4</t>
  </si>
  <si>
    <r>
      <rPr>
        <i/>
        <sz val="10"/>
        <color theme="1"/>
        <rFont val="宋体"/>
        <charset val="134"/>
      </rPr>
      <t>暖通工程</t>
    </r>
  </si>
  <si>
    <t>1.1.5</t>
  </si>
  <si>
    <r>
      <rPr>
        <i/>
        <sz val="10"/>
        <color theme="1"/>
        <rFont val="宋体"/>
        <charset val="134"/>
      </rPr>
      <t>消防工程</t>
    </r>
  </si>
  <si>
    <t>1.1.6</t>
  </si>
  <si>
    <r>
      <rPr>
        <i/>
        <sz val="10"/>
        <color theme="1"/>
        <rFont val="宋体"/>
        <charset val="134"/>
      </rPr>
      <t>设备工程</t>
    </r>
  </si>
  <si>
    <t>1.1.7</t>
  </si>
  <si>
    <r>
      <rPr>
        <i/>
        <sz val="10"/>
        <color theme="1"/>
        <rFont val="宋体"/>
        <charset val="134"/>
      </rPr>
      <t>场平工程</t>
    </r>
  </si>
  <si>
    <t>1.1.8</t>
  </si>
  <si>
    <r>
      <rPr>
        <i/>
        <sz val="10"/>
        <color theme="1"/>
        <rFont val="宋体"/>
        <charset val="134"/>
      </rPr>
      <t>室外工程</t>
    </r>
  </si>
  <si>
    <r>
      <rPr>
        <i/>
        <sz val="10"/>
        <color theme="1"/>
        <rFont val="宋体"/>
        <charset val="134"/>
      </rPr>
      <t>绿建工程</t>
    </r>
  </si>
  <si>
    <r>
      <rPr>
        <i/>
        <sz val="10"/>
        <color theme="1"/>
        <rFont val="宋体"/>
        <charset val="134"/>
      </rPr>
      <t>废弃物绿色处理</t>
    </r>
  </si>
  <si>
    <r>
      <rPr>
        <i/>
        <sz val="10"/>
        <color theme="1"/>
        <rFont val="宋体"/>
        <charset val="134"/>
      </rPr>
      <t>雨洪管理设施</t>
    </r>
  </si>
  <si>
    <r>
      <rPr>
        <i/>
        <sz val="10"/>
        <color theme="1"/>
        <rFont val="Arial"/>
        <charset val="134"/>
      </rPr>
      <t>LEED</t>
    </r>
    <r>
      <rPr>
        <i/>
        <sz val="10"/>
        <color theme="1"/>
        <rFont val="宋体"/>
        <charset val="134"/>
      </rPr>
      <t>认证增量措施</t>
    </r>
  </si>
  <si>
    <t>1.2</t>
  </si>
  <si>
    <r>
      <rPr>
        <i/>
        <sz val="10.5"/>
        <color theme="1"/>
        <rFont val="Arial"/>
        <charset val="134"/>
      </rPr>
      <t>2#</t>
    </r>
    <r>
      <rPr>
        <i/>
        <sz val="10.5"/>
        <color theme="1"/>
        <rFont val="宋体"/>
        <charset val="134"/>
      </rPr>
      <t>海关卡口</t>
    </r>
  </si>
  <si>
    <t>1.2.1</t>
  </si>
  <si>
    <r>
      <rPr>
        <i/>
        <sz val="10.5"/>
        <color theme="1"/>
        <rFont val="宋体"/>
        <charset val="134"/>
      </rPr>
      <t>地基处理</t>
    </r>
  </si>
  <si>
    <t>1.2.2</t>
  </si>
  <si>
    <r>
      <rPr>
        <i/>
        <sz val="10.5"/>
        <color theme="1"/>
        <rFont val="宋体"/>
        <charset val="134"/>
      </rPr>
      <t>土建工程</t>
    </r>
  </si>
  <si>
    <t>1.2.3</t>
  </si>
  <si>
    <r>
      <rPr>
        <i/>
        <sz val="10.5"/>
        <color theme="1"/>
        <rFont val="宋体"/>
        <charset val="134"/>
      </rPr>
      <t>给排水工程</t>
    </r>
  </si>
  <si>
    <t>1.2.4</t>
  </si>
  <si>
    <r>
      <rPr>
        <i/>
        <sz val="10.5"/>
        <color theme="1"/>
        <rFont val="宋体"/>
        <charset val="134"/>
      </rPr>
      <t>暖通工程</t>
    </r>
  </si>
  <si>
    <t>1.2.5</t>
  </si>
  <si>
    <r>
      <rPr>
        <i/>
        <sz val="10.5"/>
        <color theme="1"/>
        <rFont val="宋体"/>
        <charset val="134"/>
      </rPr>
      <t>电气工程</t>
    </r>
  </si>
  <si>
    <t>1.2.6</t>
  </si>
  <si>
    <r>
      <rPr>
        <i/>
        <sz val="10.5"/>
        <color theme="1"/>
        <rFont val="宋体"/>
        <charset val="134"/>
      </rPr>
      <t>抗震支架</t>
    </r>
  </si>
  <si>
    <t>1.2.7</t>
  </si>
  <si>
    <r>
      <rPr>
        <i/>
        <sz val="10"/>
        <color theme="1"/>
        <rFont val="宋体"/>
        <charset val="134"/>
      </rPr>
      <t>标识标牌</t>
    </r>
  </si>
  <si>
    <r>
      <rPr>
        <i/>
        <sz val="10"/>
        <color theme="1"/>
        <rFont val="宋体"/>
        <charset val="134"/>
      </rPr>
      <t>海关围网</t>
    </r>
  </si>
  <si>
    <t>HGAC-CW02</t>
  </si>
  <si>
    <r>
      <rPr>
        <sz val="10"/>
        <color theme="1"/>
        <rFont val="宋体"/>
        <charset val="134"/>
      </rPr>
      <t xml:space="preserve">保税物流仓库 </t>
    </r>
    <r>
      <rPr>
        <sz val="10"/>
        <color theme="1"/>
        <rFont val="Arial"/>
        <charset val="134"/>
      </rPr>
      <t>(</t>
    </r>
    <r>
      <rPr>
        <sz val="10"/>
        <color theme="1"/>
        <rFont val="宋体"/>
        <charset val="134"/>
      </rPr>
      <t>一</t>
    </r>
    <r>
      <rPr>
        <sz val="10"/>
        <color theme="1"/>
        <rFont val="Arial"/>
        <charset val="134"/>
      </rPr>
      <t>)</t>
    </r>
  </si>
  <si>
    <r>
      <rPr>
        <sz val="10"/>
        <color theme="1"/>
        <rFont val="宋体"/>
        <charset val="134"/>
      </rPr>
      <t>保税物流仓库</t>
    </r>
    <r>
      <rPr>
        <sz val="10"/>
        <color theme="1"/>
        <rFont val="Arial"/>
        <charset val="134"/>
      </rPr>
      <t>M01</t>
    </r>
    <r>
      <rPr>
        <sz val="10"/>
        <color theme="1"/>
        <rFont val="宋体"/>
        <charset val="134"/>
      </rPr>
      <t>，</t>
    </r>
    <r>
      <rPr>
        <sz val="10"/>
        <color theme="1"/>
        <rFont val="宋体"/>
        <charset val="134"/>
      </rPr>
      <t>建筑面积总计</t>
    </r>
    <r>
      <rPr>
        <sz val="10"/>
        <color theme="1"/>
        <rFont val="Arial"/>
        <charset val="134"/>
      </rPr>
      <t>20,396 m2</t>
    </r>
  </si>
  <si>
    <t>前审</t>
  </si>
  <si>
    <t>2025.6</t>
  </si>
  <si>
    <r>
      <rPr>
        <i/>
        <sz val="10"/>
        <color theme="1"/>
        <rFont val="Arial"/>
        <charset val="134"/>
      </rPr>
      <t xml:space="preserve">M01 </t>
    </r>
    <r>
      <rPr>
        <i/>
        <sz val="10"/>
        <color theme="1"/>
        <rFont val="宋体"/>
        <charset val="134"/>
      </rPr>
      <t>物流仓库</t>
    </r>
  </si>
  <si>
    <t>2.8.1</t>
  </si>
  <si>
    <t>2.8.2</t>
  </si>
  <si>
    <t>2.8.3</t>
  </si>
  <si>
    <t>2.8.4</t>
  </si>
  <si>
    <t>2.8.5</t>
  </si>
  <si>
    <t>2.8.6</t>
  </si>
  <si>
    <t>2.8.7</t>
  </si>
  <si>
    <t>2.8.8</t>
  </si>
  <si>
    <r>
      <rPr>
        <sz val="10"/>
        <color theme="1"/>
        <rFont val="宋体"/>
        <charset val="134"/>
      </rPr>
      <t xml:space="preserve">保税物流仓库 </t>
    </r>
    <r>
      <rPr>
        <sz val="10"/>
        <color theme="1"/>
        <rFont val="Arial"/>
        <charset val="134"/>
      </rPr>
      <t>(</t>
    </r>
    <r>
      <rPr>
        <sz val="10"/>
        <color theme="1"/>
        <rFont val="宋体"/>
        <charset val="134"/>
      </rPr>
      <t>二</t>
    </r>
    <r>
      <rPr>
        <sz val="10"/>
        <color theme="1"/>
        <rFont val="Arial"/>
        <charset val="134"/>
      </rPr>
      <t>)</t>
    </r>
  </si>
  <si>
    <r>
      <rPr>
        <sz val="10"/>
        <color theme="1"/>
        <rFont val="宋体"/>
        <charset val="134"/>
      </rPr>
      <t>保税物流仓库</t>
    </r>
    <r>
      <rPr>
        <sz val="10"/>
        <color theme="1"/>
        <rFont val="Arial"/>
        <charset val="134"/>
      </rPr>
      <t>J01 / K01</t>
    </r>
    <r>
      <rPr>
        <sz val="10"/>
        <color theme="1"/>
        <rFont val="宋体"/>
        <charset val="134"/>
      </rPr>
      <t>、架空平台</t>
    </r>
    <r>
      <rPr>
        <sz val="10"/>
        <color theme="1"/>
        <rFont val="Arial"/>
        <charset val="134"/>
      </rPr>
      <t>3</t>
    </r>
    <r>
      <rPr>
        <sz val="10"/>
        <color theme="1"/>
        <rFont val="宋体"/>
        <charset val="134"/>
      </rPr>
      <t>，</t>
    </r>
    <r>
      <rPr>
        <sz val="10"/>
        <color theme="1"/>
        <rFont val="宋体"/>
        <charset val="134"/>
      </rPr>
      <t>建筑面积总计</t>
    </r>
    <r>
      <rPr>
        <sz val="10"/>
        <color theme="1"/>
        <rFont val="Arial"/>
        <charset val="134"/>
      </rPr>
      <t>42,780 m2</t>
    </r>
  </si>
  <si>
    <r>
      <rPr>
        <i/>
        <sz val="10"/>
        <color theme="1"/>
        <rFont val="Arial"/>
        <charset val="134"/>
      </rPr>
      <t xml:space="preserve">J01 </t>
    </r>
    <r>
      <rPr>
        <i/>
        <sz val="10"/>
        <color theme="1"/>
        <rFont val="宋体"/>
        <charset val="134"/>
      </rPr>
      <t>物流仓库</t>
    </r>
  </si>
  <si>
    <r>
      <rPr>
        <i/>
        <sz val="10"/>
        <color theme="1"/>
        <rFont val="等线 Light"/>
        <charset val="134"/>
      </rPr>
      <t>土建</t>
    </r>
  </si>
  <si>
    <r>
      <rPr>
        <i/>
        <sz val="10"/>
        <color theme="1"/>
        <rFont val="Arial"/>
        <charset val="134"/>
      </rPr>
      <t>18</t>
    </r>
    <r>
      <rPr>
        <i/>
        <sz val="10"/>
        <color theme="1"/>
        <rFont val="等线 Light"/>
        <charset val="134"/>
      </rPr>
      <t>个月</t>
    </r>
  </si>
  <si>
    <r>
      <rPr>
        <i/>
        <sz val="10"/>
        <color theme="1"/>
        <rFont val="宋体"/>
        <charset val="134"/>
      </rPr>
      <t>后审</t>
    </r>
  </si>
  <si>
    <r>
      <rPr>
        <i/>
        <sz val="10"/>
        <color theme="1"/>
        <rFont val="等线 Light"/>
        <charset val="134"/>
      </rPr>
      <t>是</t>
    </r>
  </si>
  <si>
    <t>2.15.1</t>
  </si>
  <si>
    <t>2.15.2</t>
  </si>
  <si>
    <t>2.15.3</t>
  </si>
  <si>
    <t>2.15.4</t>
  </si>
  <si>
    <t>2.15.5</t>
  </si>
  <si>
    <t>2.15.6</t>
  </si>
  <si>
    <t>2.15.7</t>
  </si>
  <si>
    <t>室外工程</t>
  </si>
  <si>
    <t>2.15.8</t>
  </si>
  <si>
    <r>
      <rPr>
        <i/>
        <sz val="10"/>
        <color theme="1"/>
        <rFont val="Arial"/>
        <charset val="134"/>
      </rPr>
      <t xml:space="preserve">K01 </t>
    </r>
    <r>
      <rPr>
        <i/>
        <sz val="10"/>
        <color theme="1"/>
        <rFont val="宋体"/>
        <charset val="134"/>
      </rPr>
      <t>物流仓库</t>
    </r>
  </si>
  <si>
    <t>2.16.1</t>
  </si>
  <si>
    <t>2.16.2</t>
  </si>
  <si>
    <t>2.16.3</t>
  </si>
  <si>
    <t>2.16.4</t>
  </si>
  <si>
    <t>2.16.5</t>
  </si>
  <si>
    <t>2.16.6</t>
  </si>
  <si>
    <t>2.16.7</t>
  </si>
  <si>
    <t>2.16.8</t>
  </si>
  <si>
    <t>2.18</t>
  </si>
  <si>
    <r>
      <rPr>
        <i/>
        <sz val="10"/>
        <color theme="1"/>
        <rFont val="宋体"/>
        <charset val="134"/>
      </rPr>
      <t>架空平台</t>
    </r>
    <r>
      <rPr>
        <i/>
        <sz val="10"/>
        <color theme="1"/>
        <rFont val="Arial"/>
        <charset val="134"/>
      </rPr>
      <t>3</t>
    </r>
  </si>
  <si>
    <t>2.18.1</t>
  </si>
  <si>
    <r>
      <rPr>
        <i/>
        <sz val="10"/>
        <color theme="1"/>
        <rFont val="宋体"/>
        <charset val="134"/>
      </rPr>
      <t>建筑工程</t>
    </r>
  </si>
  <si>
    <t>2.18.2</t>
  </si>
  <si>
    <r>
      <rPr>
        <i/>
        <sz val="10"/>
        <color theme="1"/>
        <rFont val="宋体"/>
        <charset val="134"/>
      </rPr>
      <t>安装工程</t>
    </r>
  </si>
  <si>
    <r>
      <rPr>
        <sz val="10"/>
        <color theme="1"/>
        <rFont val="宋体"/>
        <charset val="134"/>
      </rPr>
      <t xml:space="preserve">保税物流仓库 </t>
    </r>
    <r>
      <rPr>
        <sz val="10"/>
        <color theme="1"/>
        <rFont val="Arial"/>
        <charset val="134"/>
      </rPr>
      <t>(</t>
    </r>
    <r>
      <rPr>
        <sz val="10"/>
        <color theme="1"/>
        <rFont val="宋体"/>
        <charset val="134"/>
      </rPr>
      <t>三</t>
    </r>
    <r>
      <rPr>
        <sz val="10"/>
        <color theme="1"/>
        <rFont val="Arial"/>
        <charset val="134"/>
      </rPr>
      <t>)</t>
    </r>
  </si>
  <si>
    <r>
      <rPr>
        <sz val="10"/>
        <color theme="1"/>
        <rFont val="宋体"/>
        <charset val="134"/>
      </rPr>
      <t>保税物流仓库</t>
    </r>
    <r>
      <rPr>
        <sz val="10"/>
        <color theme="1"/>
        <rFont val="Arial"/>
        <charset val="134"/>
      </rPr>
      <t>H01 / H02 / E05,</t>
    </r>
    <r>
      <rPr>
        <sz val="10"/>
        <color theme="1"/>
        <rFont val="宋体"/>
        <charset val="134"/>
      </rPr>
      <t>、架空平台</t>
    </r>
    <r>
      <rPr>
        <sz val="10"/>
        <color theme="1"/>
        <rFont val="Arial"/>
        <charset val="134"/>
      </rPr>
      <t>2</t>
    </r>
    <r>
      <rPr>
        <sz val="10"/>
        <color theme="1"/>
        <rFont val="宋体"/>
        <charset val="134"/>
      </rPr>
      <t>，</t>
    </r>
    <r>
      <rPr>
        <sz val="10"/>
        <color theme="1"/>
        <rFont val="宋体"/>
        <charset val="134"/>
      </rPr>
      <t>建筑面积总计</t>
    </r>
    <r>
      <rPr>
        <sz val="10"/>
        <color theme="1"/>
        <rFont val="Arial"/>
        <charset val="134"/>
      </rPr>
      <t>121,805 m2</t>
    </r>
  </si>
  <si>
    <r>
      <rPr>
        <sz val="10"/>
        <color theme="1"/>
        <rFont val="等线 Light"/>
        <charset val="134"/>
      </rPr>
      <t>前审</t>
    </r>
  </si>
  <si>
    <t>2027.3</t>
  </si>
  <si>
    <t>2027.4</t>
  </si>
  <si>
    <t>2027.6</t>
  </si>
  <si>
    <t>2028.12</t>
  </si>
  <si>
    <r>
      <rPr>
        <i/>
        <sz val="10"/>
        <color theme="1"/>
        <rFont val="Arial"/>
        <charset val="134"/>
      </rPr>
      <t xml:space="preserve">H01 </t>
    </r>
    <r>
      <rPr>
        <i/>
        <sz val="10"/>
        <color theme="1"/>
        <rFont val="宋体"/>
        <charset val="134"/>
      </rPr>
      <t>物流仓库</t>
    </r>
  </si>
  <si>
    <t>2.10.1</t>
  </si>
  <si>
    <t>2.10.2</t>
  </si>
  <si>
    <t>2.10.3</t>
  </si>
  <si>
    <t>2.10.4</t>
  </si>
  <si>
    <t>2.10.5</t>
  </si>
  <si>
    <t>2.10.6</t>
  </si>
  <si>
    <t>2.10.7</t>
  </si>
  <si>
    <t>2.10.8</t>
  </si>
  <si>
    <r>
      <rPr>
        <i/>
        <sz val="10"/>
        <color theme="1"/>
        <rFont val="Arial"/>
        <charset val="134"/>
      </rPr>
      <t xml:space="preserve">H02 </t>
    </r>
    <r>
      <rPr>
        <i/>
        <sz val="10"/>
        <color theme="1"/>
        <rFont val="宋体"/>
        <charset val="134"/>
      </rPr>
      <t>物流仓库</t>
    </r>
  </si>
  <si>
    <t>2.11.1</t>
  </si>
  <si>
    <t>2.11.2</t>
  </si>
  <si>
    <t>2.11.3</t>
  </si>
  <si>
    <t>2.11.4</t>
  </si>
  <si>
    <t>2.11.5</t>
  </si>
  <si>
    <t>2.11.6</t>
  </si>
  <si>
    <t>2.11.7</t>
  </si>
  <si>
    <t>2.11.8</t>
  </si>
  <si>
    <r>
      <rPr>
        <i/>
        <sz val="10"/>
        <color theme="1"/>
        <rFont val="Arial"/>
        <charset val="134"/>
      </rPr>
      <t xml:space="preserve">E05 </t>
    </r>
    <r>
      <rPr>
        <i/>
        <sz val="10"/>
        <color theme="1"/>
        <rFont val="宋体"/>
        <charset val="134"/>
      </rPr>
      <t>物流仓库</t>
    </r>
  </si>
  <si>
    <t>2.9.1</t>
  </si>
  <si>
    <t>2.9.2</t>
  </si>
  <si>
    <t>2.9.3</t>
  </si>
  <si>
    <t>2.9.4</t>
  </si>
  <si>
    <t>2.9.5</t>
  </si>
  <si>
    <t>2.9.6</t>
  </si>
  <si>
    <t>2.9.7</t>
  </si>
  <si>
    <t>2.9.8</t>
  </si>
  <si>
    <t>2.17</t>
  </si>
  <si>
    <t>架空平台2</t>
  </si>
  <si>
    <t>2.17.1</t>
  </si>
  <si>
    <t>建筑工程</t>
  </si>
  <si>
    <t>2.17.2</t>
  </si>
  <si>
    <t>安装工程</t>
  </si>
  <si>
    <r>
      <rPr>
        <sz val="10"/>
        <color theme="1"/>
        <rFont val="宋体"/>
        <charset val="134"/>
      </rPr>
      <t xml:space="preserve">保税物流仓库 </t>
    </r>
    <r>
      <rPr>
        <sz val="10"/>
        <color theme="1"/>
        <rFont val="Arial"/>
        <charset val="134"/>
      </rPr>
      <t>(</t>
    </r>
    <r>
      <rPr>
        <sz val="10"/>
        <color theme="1"/>
        <rFont val="宋体"/>
        <charset val="134"/>
      </rPr>
      <t>四</t>
    </r>
    <r>
      <rPr>
        <sz val="10"/>
        <color theme="1"/>
        <rFont val="Arial"/>
        <charset val="134"/>
      </rPr>
      <t>)</t>
    </r>
  </si>
  <si>
    <r>
      <rPr>
        <sz val="10"/>
        <color theme="1"/>
        <rFont val="宋体"/>
        <charset val="134"/>
      </rPr>
      <t>保税物流仓库</t>
    </r>
    <r>
      <rPr>
        <sz val="10"/>
        <color theme="1"/>
        <rFont val="Arial"/>
        <charset val="134"/>
      </rPr>
      <t>H03 / H04 / L01</t>
    </r>
    <r>
      <rPr>
        <sz val="10"/>
        <color theme="1"/>
        <rFont val="宋体"/>
        <charset val="134"/>
      </rPr>
      <t>，建筑面积总计</t>
    </r>
    <r>
      <rPr>
        <sz val="10"/>
        <color theme="1"/>
        <rFont val="Arial"/>
        <charset val="134"/>
      </rPr>
      <t>100,098 m2</t>
    </r>
  </si>
  <si>
    <r>
      <rPr>
        <i/>
        <sz val="10"/>
        <color theme="1"/>
        <rFont val="Arial"/>
        <charset val="134"/>
      </rPr>
      <t xml:space="preserve">H03 </t>
    </r>
    <r>
      <rPr>
        <i/>
        <sz val="10"/>
        <color theme="1"/>
        <rFont val="宋体"/>
        <charset val="134"/>
      </rPr>
      <t>物流仓库</t>
    </r>
  </si>
  <si>
    <t>2.12.1</t>
  </si>
  <si>
    <t>2.12.2</t>
  </si>
  <si>
    <t>2.12.3</t>
  </si>
  <si>
    <t>2.12.4</t>
  </si>
  <si>
    <t>2.12.5</t>
  </si>
  <si>
    <t>2.12.6</t>
  </si>
  <si>
    <t>2.12.7</t>
  </si>
  <si>
    <t>2.12.8</t>
  </si>
  <si>
    <r>
      <rPr>
        <i/>
        <sz val="10"/>
        <color theme="1"/>
        <rFont val="Arial"/>
        <charset val="134"/>
      </rPr>
      <t xml:space="preserve">H04 </t>
    </r>
    <r>
      <rPr>
        <i/>
        <sz val="10"/>
        <color theme="1"/>
        <rFont val="宋体"/>
        <charset val="134"/>
      </rPr>
      <t>物流仓库</t>
    </r>
  </si>
  <si>
    <t>2.13.1</t>
  </si>
  <si>
    <t>2.13.2</t>
  </si>
  <si>
    <t>2.13.3</t>
  </si>
  <si>
    <t>2.13.4</t>
  </si>
  <si>
    <t>2.13.5</t>
  </si>
  <si>
    <t>2.13.6</t>
  </si>
  <si>
    <t>2.13.7</t>
  </si>
  <si>
    <t>2.13.8</t>
  </si>
  <si>
    <r>
      <rPr>
        <i/>
        <sz val="10"/>
        <color theme="1"/>
        <rFont val="Arial"/>
        <charset val="134"/>
      </rPr>
      <t xml:space="preserve">L01 </t>
    </r>
    <r>
      <rPr>
        <i/>
        <sz val="10"/>
        <color theme="1"/>
        <rFont val="宋体"/>
        <charset val="134"/>
      </rPr>
      <t>物流仓库</t>
    </r>
  </si>
  <si>
    <t>2.14.1</t>
  </si>
  <si>
    <t>2.14.2</t>
  </si>
  <si>
    <t>2.14.3</t>
  </si>
  <si>
    <t>2.14.4</t>
  </si>
  <si>
    <t>2.14.5</t>
  </si>
  <si>
    <t>2.14.6</t>
  </si>
  <si>
    <t>2.14.7</t>
  </si>
  <si>
    <t>2.14.8</t>
  </si>
  <si>
    <t>保税加工仓库</t>
  </si>
  <si>
    <r>
      <rPr>
        <sz val="10"/>
        <color theme="1"/>
        <rFont val="宋体"/>
        <charset val="134"/>
      </rPr>
      <t>保税加工仓库</t>
    </r>
    <r>
      <rPr>
        <sz val="10"/>
        <color theme="1"/>
        <rFont val="Arial"/>
        <charset val="134"/>
      </rPr>
      <t>E01 / E02 / E03 / E04</t>
    </r>
    <r>
      <rPr>
        <sz val="10"/>
        <color theme="1"/>
        <rFont val="宋体"/>
        <charset val="134"/>
      </rPr>
      <t>，建筑面积总计</t>
    </r>
    <r>
      <rPr>
        <sz val="10"/>
        <color theme="1"/>
        <rFont val="Arial"/>
        <charset val="134"/>
      </rPr>
      <t>57,184 m2</t>
    </r>
  </si>
  <si>
    <t>2026.3</t>
  </si>
  <si>
    <t>2026.4</t>
  </si>
  <si>
    <t>2026.6</t>
  </si>
  <si>
    <t>2027.12</t>
  </si>
  <si>
    <r>
      <rPr>
        <i/>
        <sz val="10"/>
        <color theme="1"/>
        <rFont val="Arial"/>
        <charset val="134"/>
      </rPr>
      <t xml:space="preserve">E01 </t>
    </r>
    <r>
      <rPr>
        <i/>
        <sz val="10"/>
        <color theme="1"/>
        <rFont val="宋体"/>
        <charset val="134"/>
      </rPr>
      <t>物流仓库</t>
    </r>
  </si>
  <si>
    <t>2.4.1</t>
  </si>
  <si>
    <t>2.4.2</t>
  </si>
  <si>
    <t>2.4.3</t>
  </si>
  <si>
    <t>2.4.4</t>
  </si>
  <si>
    <t>2.4.5</t>
  </si>
  <si>
    <t>2.4.6</t>
  </si>
  <si>
    <t>2.4.7</t>
  </si>
  <si>
    <t>2.4.8</t>
  </si>
  <si>
    <r>
      <rPr>
        <i/>
        <sz val="10"/>
        <color theme="1"/>
        <rFont val="Arial"/>
        <charset val="134"/>
      </rPr>
      <t xml:space="preserve">E02 </t>
    </r>
    <r>
      <rPr>
        <i/>
        <sz val="10"/>
        <color theme="1"/>
        <rFont val="宋体"/>
        <charset val="134"/>
      </rPr>
      <t>物流仓库</t>
    </r>
  </si>
  <si>
    <t>2.5.1</t>
  </si>
  <si>
    <t>2.5.2</t>
  </si>
  <si>
    <t>2.5.3</t>
  </si>
  <si>
    <t>2.5.4</t>
  </si>
  <si>
    <t>2.5.5</t>
  </si>
  <si>
    <t>2.5.6</t>
  </si>
  <si>
    <t>2.5.7</t>
  </si>
  <si>
    <t>2.5.8</t>
  </si>
  <si>
    <r>
      <rPr>
        <i/>
        <sz val="10"/>
        <color theme="1"/>
        <rFont val="Arial"/>
        <charset val="134"/>
      </rPr>
      <t xml:space="preserve">E03 </t>
    </r>
    <r>
      <rPr>
        <i/>
        <sz val="10"/>
        <color theme="1"/>
        <rFont val="宋体"/>
        <charset val="134"/>
      </rPr>
      <t>物流仓库</t>
    </r>
  </si>
  <si>
    <t>2.6.1</t>
  </si>
  <si>
    <t>2.6.2</t>
  </si>
  <si>
    <t>2.6.3</t>
  </si>
  <si>
    <t>2.6.4</t>
  </si>
  <si>
    <t>2.6.5</t>
  </si>
  <si>
    <t>2.6.6</t>
  </si>
  <si>
    <t>2.6.7</t>
  </si>
  <si>
    <t>2.6.8</t>
  </si>
  <si>
    <r>
      <rPr>
        <i/>
        <sz val="10"/>
        <color theme="1"/>
        <rFont val="Arial"/>
        <charset val="134"/>
      </rPr>
      <t xml:space="preserve">E04 </t>
    </r>
    <r>
      <rPr>
        <i/>
        <sz val="10"/>
        <color theme="1"/>
        <rFont val="宋体"/>
        <charset val="134"/>
      </rPr>
      <t>物流仓库</t>
    </r>
  </si>
  <si>
    <t>2.7.1</t>
  </si>
  <si>
    <t>2.7.2</t>
  </si>
  <si>
    <t>2.7.3</t>
  </si>
  <si>
    <t>2.7.4</t>
  </si>
  <si>
    <t>2.7.5</t>
  </si>
  <si>
    <t>2.7.6</t>
  </si>
  <si>
    <t>2.7.7</t>
  </si>
  <si>
    <t>2.7.8</t>
  </si>
  <si>
    <t>附属工程</t>
  </si>
  <si>
    <r>
      <rPr>
        <sz val="10"/>
        <color theme="1"/>
        <rFont val="宋体"/>
        <charset val="134"/>
      </rPr>
      <t>集卡坡道</t>
    </r>
    <r>
      <rPr>
        <sz val="10"/>
        <color theme="1"/>
        <rFont val="Arial"/>
        <charset val="134"/>
      </rPr>
      <t>3</t>
    </r>
    <r>
      <rPr>
        <sz val="10"/>
        <color theme="1"/>
        <rFont val="宋体"/>
        <charset val="134"/>
      </rPr>
      <t>、集卡坡道</t>
    </r>
    <r>
      <rPr>
        <sz val="10"/>
        <color theme="1"/>
        <rFont val="Arial"/>
        <charset val="134"/>
      </rPr>
      <t>4</t>
    </r>
    <r>
      <rPr>
        <sz val="10"/>
        <color theme="1"/>
        <rFont val="宋体"/>
        <charset val="134"/>
      </rPr>
      <t>、集卡坡道</t>
    </r>
    <r>
      <rPr>
        <sz val="10"/>
        <color theme="1"/>
        <rFont val="Arial"/>
        <charset val="134"/>
      </rPr>
      <t>5</t>
    </r>
    <r>
      <rPr>
        <sz val="10"/>
        <color theme="1"/>
        <rFont val="宋体"/>
        <charset val="134"/>
      </rPr>
      <t>、门卫室、设备用房</t>
    </r>
  </si>
  <si>
    <t>土建</t>
  </si>
  <si>
    <t>后审</t>
  </si>
  <si>
    <t>2025.3</t>
  </si>
  <si>
    <t>2025.4</t>
  </si>
  <si>
    <t>2026.5</t>
  </si>
  <si>
    <r>
      <rPr>
        <b/>
        <sz val="10"/>
        <color theme="1"/>
        <rFont val="等线 Light"/>
        <charset val="134"/>
      </rPr>
      <t>小计</t>
    </r>
  </si>
  <si>
    <r>
      <rPr>
        <b/>
        <sz val="10"/>
        <color theme="1"/>
        <rFont val="宋体"/>
        <charset val="134"/>
      </rPr>
      <t>组成部分</t>
    </r>
    <r>
      <rPr>
        <b/>
        <sz val="10"/>
        <color theme="1"/>
        <rFont val="Arial"/>
        <charset val="134"/>
      </rPr>
      <t>2:</t>
    </r>
  </si>
  <si>
    <t>贸易和货运服务设施</t>
  </si>
  <si>
    <r>
      <rPr>
        <sz val="10"/>
        <color theme="1"/>
        <rFont val="Arial"/>
        <charset val="134"/>
      </rPr>
      <t xml:space="preserve">(1) </t>
    </r>
    <r>
      <rPr>
        <sz val="10"/>
        <color theme="1"/>
        <rFont val="宋体"/>
        <charset val="134"/>
      </rPr>
      <t>免税服务中心</t>
    </r>
    <r>
      <rPr>
        <sz val="10"/>
        <color theme="1"/>
        <rFont val="Arial"/>
        <charset val="134"/>
      </rPr>
      <t>S01</t>
    </r>
    <r>
      <rPr>
        <sz val="10"/>
        <color theme="1"/>
        <rFont val="宋体"/>
        <charset val="134"/>
      </rPr>
      <t>，建筑面积</t>
    </r>
    <r>
      <rPr>
        <sz val="10"/>
        <color theme="1"/>
        <rFont val="Arial"/>
        <charset val="134"/>
      </rPr>
      <t xml:space="preserve">10,450 m2; (2) </t>
    </r>
    <r>
      <rPr>
        <sz val="10"/>
        <color theme="1"/>
        <rFont val="宋体"/>
        <charset val="134"/>
      </rPr>
      <t>综合办公楼</t>
    </r>
    <r>
      <rPr>
        <sz val="10"/>
        <color theme="1"/>
        <rFont val="Arial"/>
        <charset val="134"/>
      </rPr>
      <t>W01</t>
    </r>
    <r>
      <rPr>
        <sz val="10"/>
        <color theme="1"/>
        <rFont val="宋体"/>
        <charset val="134"/>
      </rPr>
      <t>，建筑面积</t>
    </r>
    <r>
      <rPr>
        <sz val="10"/>
        <color theme="1"/>
        <rFont val="Arial"/>
        <charset val="134"/>
      </rPr>
      <t>39,432 m2</t>
    </r>
  </si>
  <si>
    <r>
      <rPr>
        <b/>
        <i/>
        <sz val="10"/>
        <color theme="1"/>
        <rFont val="Arial"/>
        <charset val="134"/>
      </rPr>
      <t xml:space="preserve">S01 </t>
    </r>
    <r>
      <rPr>
        <b/>
        <i/>
        <sz val="10"/>
        <color theme="1"/>
        <rFont val="宋体"/>
        <charset val="134"/>
      </rPr>
      <t>免税服务中心</t>
    </r>
  </si>
  <si>
    <t>3.2.1</t>
  </si>
  <si>
    <t>3.2.2</t>
  </si>
  <si>
    <t>3.2.3</t>
  </si>
  <si>
    <t>3.2.4</t>
  </si>
  <si>
    <t>3.2.5</t>
  </si>
  <si>
    <t>3.2.6</t>
  </si>
  <si>
    <t>3.2.7</t>
  </si>
  <si>
    <t>3.2.8</t>
  </si>
  <si>
    <r>
      <rPr>
        <i/>
        <sz val="10"/>
        <color theme="1"/>
        <rFont val="宋体"/>
        <charset val="134"/>
      </rPr>
      <t>其他可再生能源措施</t>
    </r>
  </si>
  <si>
    <r>
      <rPr>
        <i/>
        <sz val="10"/>
        <color theme="1"/>
        <rFont val="宋体"/>
        <charset val="134"/>
      </rPr>
      <t>绿建三星增量措施</t>
    </r>
  </si>
  <si>
    <r>
      <rPr>
        <b/>
        <i/>
        <sz val="10"/>
        <color theme="1"/>
        <rFont val="Arial"/>
        <charset val="134"/>
      </rPr>
      <t xml:space="preserve">W01 </t>
    </r>
    <r>
      <rPr>
        <b/>
        <i/>
        <sz val="10"/>
        <color theme="1"/>
        <rFont val="宋体"/>
        <charset val="134"/>
      </rPr>
      <t>综合办公楼</t>
    </r>
  </si>
  <si>
    <t>3.1.1</t>
  </si>
  <si>
    <t>3.1.2</t>
  </si>
  <si>
    <t>3.1.3</t>
  </si>
  <si>
    <t>3.1.4</t>
  </si>
  <si>
    <t>3.1.5</t>
  </si>
  <si>
    <t>3.1.6</t>
  </si>
  <si>
    <t>3.1.7</t>
  </si>
  <si>
    <t>3.1.8</t>
  </si>
  <si>
    <r>
      <rPr>
        <b/>
        <sz val="10"/>
        <color theme="1"/>
        <rFont val="宋体"/>
        <charset val="134"/>
      </rPr>
      <t>组成部分</t>
    </r>
    <r>
      <rPr>
        <b/>
        <sz val="10"/>
        <color theme="1"/>
        <rFont val="Arial"/>
        <charset val="134"/>
      </rPr>
      <t>3:</t>
    </r>
  </si>
  <si>
    <t>低碳、智慧和配套设施</t>
  </si>
  <si>
    <t>HGAC-CW09</t>
  </si>
  <si>
    <t>园区市政道路施工总承包</t>
  </si>
  <si>
    <r>
      <rPr>
        <sz val="10"/>
        <color theme="1"/>
        <rFont val="Arial"/>
        <charset val="134"/>
      </rPr>
      <t xml:space="preserve">(1) </t>
    </r>
    <r>
      <rPr>
        <sz val="10"/>
        <color theme="1"/>
        <rFont val="宋体"/>
        <charset val="134"/>
      </rPr>
      <t>高架联络道</t>
    </r>
    <r>
      <rPr>
        <sz val="10"/>
        <color theme="1"/>
        <rFont val="Arial"/>
        <charset val="134"/>
      </rPr>
      <t>#1 (</t>
    </r>
    <r>
      <rPr>
        <sz val="10"/>
        <color theme="1"/>
        <rFont val="宋体"/>
        <charset val="134"/>
      </rPr>
      <t>路基面积</t>
    </r>
    <r>
      <rPr>
        <sz val="10"/>
        <color theme="1"/>
        <rFont val="Arial"/>
        <charset val="134"/>
      </rPr>
      <t>2,667 m2)</t>
    </r>
    <r>
      <rPr>
        <sz val="10"/>
        <color theme="1"/>
        <rFont val="宋体"/>
        <charset val="134"/>
      </rPr>
      <t>、高架联络道</t>
    </r>
    <r>
      <rPr>
        <sz val="10"/>
        <color theme="1"/>
        <rFont val="Arial"/>
        <charset val="134"/>
      </rPr>
      <t>#2 (</t>
    </r>
    <r>
      <rPr>
        <sz val="10"/>
        <color theme="1"/>
        <rFont val="宋体"/>
        <charset val="134"/>
      </rPr>
      <t>路基面积</t>
    </r>
    <r>
      <rPr>
        <sz val="10"/>
        <color theme="1"/>
        <rFont val="Arial"/>
        <charset val="134"/>
      </rPr>
      <t>2,375 m2); (2) 4</t>
    </r>
    <r>
      <rPr>
        <sz val="10"/>
        <color theme="1"/>
        <rFont val="宋体"/>
        <charset val="134"/>
      </rPr>
      <t>条北区道路</t>
    </r>
    <r>
      <rPr>
        <sz val="10"/>
        <color theme="1"/>
        <rFont val="Arial"/>
        <charset val="134"/>
      </rPr>
      <t>(</t>
    </r>
    <r>
      <rPr>
        <sz val="10"/>
        <color theme="1"/>
        <rFont val="宋体"/>
        <charset val="134"/>
      </rPr>
      <t>规划二路</t>
    </r>
    <r>
      <rPr>
        <sz val="10"/>
        <color theme="1"/>
        <rFont val="Arial"/>
        <charset val="134"/>
      </rPr>
      <t>581.6 m</t>
    </r>
    <r>
      <rPr>
        <sz val="10"/>
        <color theme="1"/>
        <rFont val="宋体"/>
        <charset val="134"/>
      </rPr>
      <t>、规划三路</t>
    </r>
    <r>
      <rPr>
        <sz val="10"/>
        <color theme="1"/>
        <rFont val="Arial"/>
        <charset val="134"/>
      </rPr>
      <t>990 m</t>
    </r>
    <r>
      <rPr>
        <sz val="10"/>
        <color theme="1"/>
        <rFont val="宋体"/>
        <charset val="134"/>
      </rPr>
      <t>、规划四路</t>
    </r>
    <r>
      <rPr>
        <sz val="10"/>
        <color theme="1"/>
        <rFont val="Arial"/>
        <charset val="134"/>
      </rPr>
      <t>1,075 m</t>
    </r>
    <r>
      <rPr>
        <sz val="10"/>
        <color theme="1"/>
        <rFont val="宋体"/>
        <charset val="134"/>
      </rPr>
      <t>、规划五路</t>
    </r>
    <r>
      <rPr>
        <sz val="10"/>
        <color theme="1"/>
        <rFont val="Arial"/>
        <charset val="134"/>
      </rPr>
      <t xml:space="preserve">354 m), </t>
    </r>
    <r>
      <rPr>
        <sz val="10"/>
        <color theme="1"/>
        <rFont val="宋体"/>
        <charset val="134"/>
      </rPr>
      <t>以及相关基础设施</t>
    </r>
  </si>
  <si>
    <t>2025.1</t>
  </si>
  <si>
    <t>配套设施</t>
  </si>
  <si>
    <t>6.1</t>
  </si>
  <si>
    <r>
      <rPr>
        <i/>
        <sz val="10"/>
        <color theme="1"/>
        <rFont val="Arial"/>
        <charset val="134"/>
      </rPr>
      <t>1#</t>
    </r>
    <r>
      <rPr>
        <i/>
        <sz val="10"/>
        <color theme="1"/>
        <rFont val="宋体"/>
        <charset val="134"/>
      </rPr>
      <t>高架联络道</t>
    </r>
  </si>
  <si>
    <t>6.1.1</t>
  </si>
  <si>
    <r>
      <rPr>
        <i/>
        <sz val="10"/>
        <color theme="1"/>
        <rFont val="宋体"/>
        <charset val="134"/>
      </rPr>
      <t>路基</t>
    </r>
  </si>
  <si>
    <t>6.1.2</t>
  </si>
  <si>
    <r>
      <rPr>
        <i/>
        <sz val="10"/>
        <color theme="1"/>
        <rFont val="宋体"/>
        <charset val="134"/>
      </rPr>
      <t>钢箱梁</t>
    </r>
  </si>
  <si>
    <t>6.1.3</t>
  </si>
  <si>
    <r>
      <rPr>
        <i/>
        <sz val="10"/>
        <color theme="1"/>
        <rFont val="宋体"/>
        <charset val="134"/>
      </rPr>
      <t>装饰棚</t>
    </r>
  </si>
  <si>
    <r>
      <rPr>
        <i/>
        <sz val="10"/>
        <color theme="1"/>
        <rFont val="Arial"/>
        <charset val="134"/>
      </rPr>
      <t>2#</t>
    </r>
    <r>
      <rPr>
        <i/>
        <sz val="10"/>
        <color theme="1"/>
        <rFont val="宋体"/>
        <charset val="134"/>
      </rPr>
      <t>高架联络道</t>
    </r>
  </si>
  <si>
    <t>6.2.1</t>
  </si>
  <si>
    <t>6.2.3</t>
  </si>
  <si>
    <t>6.2.4</t>
  </si>
  <si>
    <t>6.3</t>
  </si>
  <si>
    <r>
      <rPr>
        <i/>
        <sz val="10"/>
        <color theme="1"/>
        <rFont val="宋体"/>
        <charset val="134"/>
      </rPr>
      <t>规划二路</t>
    </r>
  </si>
  <si>
    <t>6.3.1</t>
  </si>
  <si>
    <r>
      <rPr>
        <i/>
        <sz val="10"/>
        <color theme="1"/>
        <rFont val="宋体"/>
        <charset val="134"/>
      </rPr>
      <t>规划三路</t>
    </r>
  </si>
  <si>
    <t>6.4.1</t>
  </si>
  <si>
    <r>
      <rPr>
        <i/>
        <sz val="10"/>
        <color theme="1"/>
        <rFont val="宋体"/>
        <charset val="134"/>
      </rPr>
      <t>规划四路</t>
    </r>
  </si>
  <si>
    <t>6.5.1</t>
  </si>
  <si>
    <r>
      <rPr>
        <i/>
        <sz val="10"/>
        <color theme="1"/>
        <rFont val="宋体"/>
        <charset val="134"/>
      </rPr>
      <t>规划五路</t>
    </r>
  </si>
  <si>
    <t>6.6.1</t>
  </si>
  <si>
    <t>HGAC-CW10</t>
  </si>
  <si>
    <t>土方工程</t>
  </si>
  <si>
    <t>二期北区土方工程</t>
  </si>
  <si>
    <t>2025.2</t>
  </si>
  <si>
    <t>2026.2</t>
  </si>
  <si>
    <t>土建类别第一个</t>
  </si>
  <si>
    <r>
      <rPr>
        <sz val="10"/>
        <color theme="1"/>
        <rFont val="宋体"/>
        <charset val="134"/>
      </rPr>
      <t>屋顶光伏</t>
    </r>
    <r>
      <rPr>
        <sz val="10"/>
        <color theme="1"/>
        <rFont val="Arial"/>
        <charset val="134"/>
      </rPr>
      <t>(</t>
    </r>
    <r>
      <rPr>
        <sz val="10"/>
        <color theme="1"/>
        <rFont val="宋体"/>
        <charset val="134"/>
      </rPr>
      <t>一</t>
    </r>
    <r>
      <rPr>
        <sz val="10"/>
        <color theme="1"/>
        <rFont val="Arial"/>
        <charset val="134"/>
      </rPr>
      <t>)</t>
    </r>
  </si>
  <si>
    <r>
      <rPr>
        <sz val="10"/>
        <color theme="1"/>
        <rFont val="Arial"/>
        <charset val="134"/>
      </rPr>
      <t xml:space="preserve">(1) </t>
    </r>
    <r>
      <rPr>
        <sz val="10"/>
        <color theme="1"/>
        <rFont val="宋体"/>
        <charset val="134"/>
      </rPr>
      <t>一期</t>
    </r>
    <r>
      <rPr>
        <sz val="10"/>
        <color theme="1"/>
        <rFont val="Arial"/>
        <charset val="134"/>
      </rPr>
      <t>(</t>
    </r>
    <r>
      <rPr>
        <sz val="10"/>
        <color theme="1"/>
        <rFont val="宋体"/>
        <charset val="134"/>
      </rPr>
      <t>先行启动区</t>
    </r>
    <r>
      <rPr>
        <sz val="10"/>
        <color theme="1"/>
        <rFont val="Arial"/>
        <charset val="134"/>
      </rPr>
      <t>)</t>
    </r>
    <r>
      <rPr>
        <sz val="10"/>
        <color theme="1"/>
        <rFont val="宋体"/>
        <charset val="134"/>
      </rPr>
      <t>海关查验中心、国际快件中心</t>
    </r>
    <r>
      <rPr>
        <sz val="10"/>
        <color theme="1"/>
        <rFont val="Arial"/>
        <charset val="134"/>
      </rPr>
      <t>#1 /#2</t>
    </r>
    <r>
      <rPr>
        <sz val="10"/>
        <color theme="1"/>
        <rFont val="宋体"/>
        <charset val="134"/>
      </rPr>
      <t>、保税物流中心</t>
    </r>
    <r>
      <rPr>
        <sz val="10"/>
        <color theme="1"/>
        <rFont val="Arial"/>
        <charset val="134"/>
      </rPr>
      <t>(B</t>
    </r>
    <r>
      <rPr>
        <sz val="10"/>
        <color theme="1"/>
        <rFont val="宋体"/>
        <charset val="134"/>
      </rPr>
      <t>类</t>
    </r>
    <r>
      <rPr>
        <sz val="10"/>
        <color theme="1"/>
        <rFont val="Arial"/>
        <charset val="134"/>
      </rPr>
      <t>)#1 / #2 / #3</t>
    </r>
    <r>
      <rPr>
        <sz val="10"/>
        <color theme="1"/>
        <rFont val="宋体"/>
        <charset val="134"/>
      </rPr>
      <t>、国际货站</t>
    </r>
    <r>
      <rPr>
        <sz val="10"/>
        <color theme="1"/>
        <rFont val="宋体"/>
        <charset val="134"/>
      </rPr>
      <t>顶部光伏设备采购与安装，共计</t>
    </r>
    <r>
      <rPr>
        <sz val="10"/>
        <color theme="1"/>
        <rFont val="Arial"/>
        <charset val="134"/>
      </rPr>
      <t>76,134 m2</t>
    </r>
    <r>
      <rPr>
        <sz val="10"/>
        <color theme="1"/>
        <rFont val="宋体"/>
        <charset val="134"/>
      </rPr>
      <t>；</t>
    </r>
    <r>
      <rPr>
        <sz val="10"/>
        <color theme="1"/>
        <rFont val="Arial"/>
        <charset val="134"/>
      </rPr>
      <t>(2)</t>
    </r>
    <r>
      <rPr>
        <sz val="10"/>
        <color theme="1"/>
        <rFont val="宋体"/>
        <charset val="134"/>
      </rPr>
      <t>自建南区建筑</t>
    </r>
    <r>
      <rPr>
        <sz val="10"/>
        <color theme="1"/>
        <rFont val="Arial"/>
        <charset val="134"/>
      </rPr>
      <t>(·P01 / R01 / R02</t>
    </r>
    <r>
      <rPr>
        <sz val="10"/>
        <color theme="1"/>
        <rFont val="宋体"/>
        <charset val="134"/>
      </rPr>
      <t>保税物流仓库、</t>
    </r>
    <r>
      <rPr>
        <sz val="10"/>
        <color theme="1"/>
        <rFont val="Arial"/>
        <charset val="134"/>
      </rPr>
      <t>Q01 / Q02</t>
    </r>
    <r>
      <rPr>
        <sz val="10"/>
        <color theme="1"/>
        <rFont val="宋体"/>
        <charset val="134"/>
      </rPr>
      <t>保税加工仓库</t>
    </r>
    <r>
      <rPr>
        <sz val="10"/>
        <color theme="1"/>
        <rFont val="Arial"/>
        <charset val="134"/>
      </rPr>
      <t>)</t>
    </r>
    <r>
      <rPr>
        <sz val="10"/>
        <color theme="1"/>
        <rFont val="宋体"/>
        <charset val="134"/>
      </rPr>
      <t>顶部光伏设备采购与安装，共计</t>
    </r>
    <r>
      <rPr>
        <sz val="10"/>
        <color theme="1"/>
        <rFont val="Arial"/>
        <charset val="134"/>
      </rPr>
      <t>87,936 m2</t>
    </r>
    <r>
      <rPr>
        <sz val="10"/>
        <color theme="1"/>
        <rFont val="宋体"/>
        <charset val="134"/>
      </rPr>
      <t>。总计(</t>
    </r>
    <r>
      <rPr>
        <sz val="10"/>
        <color theme="1"/>
        <rFont val="Arial"/>
        <charset val="134"/>
      </rPr>
      <t>1) + (2) = 164,070 m2</t>
    </r>
  </si>
  <si>
    <r>
      <rPr>
        <sz val="10"/>
        <color theme="1"/>
        <rFont val="等线 Light"/>
        <charset val="134"/>
      </rPr>
      <t>货物</t>
    </r>
  </si>
  <si>
    <r>
      <rPr>
        <sz val="10"/>
        <color theme="1"/>
        <rFont val="宋体"/>
        <charset val="134"/>
      </rPr>
      <t>前审</t>
    </r>
  </si>
  <si>
    <r>
      <rPr>
        <sz val="10"/>
        <color theme="1"/>
        <rFont val="等线 Light"/>
        <charset val="134"/>
      </rPr>
      <t>货物类别第一个</t>
    </r>
  </si>
  <si>
    <t>4.1.22</t>
  </si>
  <si>
    <r>
      <rPr>
        <i/>
        <sz val="10"/>
        <color theme="1"/>
        <rFont val="宋体"/>
        <charset val="134"/>
      </rPr>
      <t>海关查验中心</t>
    </r>
  </si>
  <si>
    <t>4.1.23</t>
  </si>
  <si>
    <r>
      <rPr>
        <i/>
        <sz val="10"/>
        <color theme="1"/>
        <rFont val="宋体"/>
        <charset val="134"/>
      </rPr>
      <t>保税仓库</t>
    </r>
    <r>
      <rPr>
        <i/>
        <sz val="10"/>
        <color theme="1"/>
        <rFont val="Arial"/>
        <charset val="134"/>
      </rPr>
      <t>1</t>
    </r>
  </si>
  <si>
    <t>4.1.24</t>
  </si>
  <si>
    <r>
      <rPr>
        <i/>
        <sz val="10"/>
        <color theme="1"/>
        <rFont val="宋体"/>
        <charset val="134"/>
      </rPr>
      <t>保税仓库</t>
    </r>
    <r>
      <rPr>
        <i/>
        <sz val="10"/>
        <color theme="1"/>
        <rFont val="Arial"/>
        <charset val="134"/>
      </rPr>
      <t>2</t>
    </r>
  </si>
  <si>
    <t>4.1.25</t>
  </si>
  <si>
    <r>
      <rPr>
        <i/>
        <sz val="10"/>
        <color theme="1"/>
        <rFont val="宋体"/>
        <charset val="134"/>
      </rPr>
      <t>保税仓库</t>
    </r>
    <r>
      <rPr>
        <i/>
        <sz val="10"/>
        <color theme="1"/>
        <rFont val="Arial"/>
        <charset val="134"/>
      </rPr>
      <t>3</t>
    </r>
  </si>
  <si>
    <t>4.1.26</t>
  </si>
  <si>
    <r>
      <rPr>
        <i/>
        <sz val="10"/>
        <color theme="1"/>
        <rFont val="宋体"/>
        <charset val="134"/>
      </rPr>
      <t>国际快件中心</t>
    </r>
  </si>
  <si>
    <t>4.1.27</t>
  </si>
  <si>
    <r>
      <rPr>
        <i/>
        <sz val="10"/>
        <color theme="1"/>
        <rFont val="宋体"/>
        <charset val="134"/>
      </rPr>
      <t>快件中心</t>
    </r>
  </si>
  <si>
    <t>4.1.16</t>
  </si>
  <si>
    <t>P001</t>
  </si>
  <si>
    <t>4.1.17</t>
  </si>
  <si>
    <t>Q001</t>
  </si>
  <si>
    <t>4.1.18</t>
  </si>
  <si>
    <t>Q002</t>
  </si>
  <si>
    <t>4.1.19</t>
  </si>
  <si>
    <t>R001</t>
  </si>
  <si>
    <t>4.1.20</t>
  </si>
  <si>
    <t>R002</t>
  </si>
  <si>
    <r>
      <rPr>
        <sz val="10"/>
        <color theme="1"/>
        <rFont val="宋体"/>
        <charset val="134"/>
      </rPr>
      <t>屋顶光伏</t>
    </r>
    <r>
      <rPr>
        <sz val="10"/>
        <color theme="1"/>
        <rFont val="Arial"/>
        <charset val="134"/>
      </rPr>
      <t>(</t>
    </r>
    <r>
      <rPr>
        <sz val="10"/>
        <color theme="1"/>
        <rFont val="宋体"/>
        <charset val="134"/>
      </rPr>
      <t>二</t>
    </r>
    <r>
      <rPr>
        <sz val="10"/>
        <color theme="1"/>
        <rFont val="Arial"/>
        <charset val="134"/>
      </rPr>
      <t>)</t>
    </r>
  </si>
  <si>
    <r>
      <rPr>
        <sz val="10"/>
        <color theme="1"/>
        <rFont val="宋体"/>
        <charset val="134"/>
      </rPr>
      <t>亚投行资金建设北区所有建筑，包括免税服务中心</t>
    </r>
    <r>
      <rPr>
        <sz val="10"/>
        <color theme="1"/>
        <rFont val="Arial"/>
        <charset val="134"/>
      </rPr>
      <t>S01</t>
    </r>
    <r>
      <rPr>
        <sz val="10"/>
        <color theme="1"/>
        <rFont val="宋体"/>
        <charset val="134"/>
      </rPr>
      <t>、综合业务楼</t>
    </r>
    <r>
      <rPr>
        <sz val="10"/>
        <color theme="1"/>
        <rFont val="Arial"/>
        <charset val="134"/>
      </rPr>
      <t>W01</t>
    </r>
    <r>
      <rPr>
        <sz val="10"/>
        <color theme="1"/>
        <rFont val="宋体"/>
        <charset val="134"/>
      </rPr>
      <t>，海关查验仓库</t>
    </r>
    <r>
      <rPr>
        <sz val="10"/>
        <color theme="1"/>
        <rFont val="Arial"/>
        <charset val="134"/>
      </rPr>
      <t>T01</t>
    </r>
    <r>
      <rPr>
        <sz val="10"/>
        <color theme="1"/>
        <rFont val="宋体"/>
        <charset val="134"/>
      </rPr>
      <t>、保税物流仓库</t>
    </r>
    <r>
      <rPr>
        <sz val="10"/>
        <color theme="1"/>
        <rFont val="Arial"/>
        <charset val="134"/>
      </rPr>
      <t>E01~E04 / H01~H04 / J01 / K01 / L01 / M01</t>
    </r>
    <r>
      <rPr>
        <sz val="10"/>
        <color theme="1"/>
        <rFont val="宋体"/>
        <charset val="134"/>
      </rPr>
      <t>，总计</t>
    </r>
    <r>
      <rPr>
        <sz val="10"/>
        <color theme="1"/>
        <rFont val="Arial"/>
        <charset val="134"/>
      </rPr>
      <t>196,714 m2</t>
    </r>
  </si>
  <si>
    <t>货物</t>
  </si>
  <si>
    <t>2025.7</t>
  </si>
  <si>
    <t>2025.9</t>
  </si>
  <si>
    <r>
      <rPr>
        <i/>
        <sz val="10"/>
        <color theme="1"/>
        <rFont val="宋体"/>
        <charset val="134"/>
      </rPr>
      <t>光伏</t>
    </r>
  </si>
  <si>
    <t>370864.11m2</t>
  </si>
  <si>
    <r>
      <rPr>
        <b/>
        <i/>
        <sz val="10"/>
        <color theme="1"/>
        <rFont val="宋体"/>
        <charset val="134"/>
      </rPr>
      <t>亚投行资金建设北区</t>
    </r>
  </si>
  <si>
    <t>4.1.1</t>
  </si>
  <si>
    <r>
      <rPr>
        <i/>
        <sz val="10"/>
        <color theme="1"/>
        <rFont val="宋体"/>
        <charset val="134"/>
      </rPr>
      <t>免税服务中心</t>
    </r>
    <r>
      <rPr>
        <i/>
        <sz val="10"/>
        <color theme="1"/>
        <rFont val="Arial"/>
        <charset val="134"/>
      </rPr>
      <t>S01</t>
    </r>
  </si>
  <si>
    <t>4.1.2</t>
  </si>
  <si>
    <r>
      <rPr>
        <i/>
        <sz val="10"/>
        <color theme="1"/>
        <rFont val="宋体"/>
        <charset val="134"/>
      </rPr>
      <t>综合业务楼</t>
    </r>
    <r>
      <rPr>
        <i/>
        <sz val="10"/>
        <color theme="1"/>
        <rFont val="Arial"/>
        <charset val="134"/>
      </rPr>
      <t>W01</t>
    </r>
  </si>
  <si>
    <t>4.1.3</t>
  </si>
  <si>
    <t>E001</t>
  </si>
  <si>
    <t>4.1.4</t>
  </si>
  <si>
    <t>E002</t>
  </si>
  <si>
    <t>4.1.5</t>
  </si>
  <si>
    <t>E003</t>
  </si>
  <si>
    <t>4.1.6</t>
  </si>
  <si>
    <t>E004</t>
  </si>
  <si>
    <t>4.1.7</t>
  </si>
  <si>
    <t>E005</t>
  </si>
  <si>
    <t>4.1.8</t>
  </si>
  <si>
    <t>H001</t>
  </si>
  <si>
    <t>4.1.9</t>
  </si>
  <si>
    <t>H002</t>
  </si>
  <si>
    <t>4.1.10</t>
  </si>
  <si>
    <t>H003</t>
  </si>
  <si>
    <t>4.1.11</t>
  </si>
  <si>
    <t>H004</t>
  </si>
  <si>
    <t>4.1.12</t>
  </si>
  <si>
    <t>J001</t>
  </si>
  <si>
    <t>4.1.13</t>
  </si>
  <si>
    <t>K001</t>
  </si>
  <si>
    <t>4.1.14</t>
  </si>
  <si>
    <t>L001</t>
  </si>
  <si>
    <t>4.1.15</t>
  </si>
  <si>
    <t>M001</t>
  </si>
  <si>
    <t>4.1.21</t>
  </si>
  <si>
    <r>
      <rPr>
        <i/>
        <sz val="10"/>
        <color theme="1"/>
        <rFont val="Arial"/>
        <charset val="134"/>
      </rPr>
      <t>T001(</t>
    </r>
    <r>
      <rPr>
        <i/>
        <sz val="10"/>
        <color theme="1"/>
        <rFont val="宋体"/>
        <charset val="134"/>
      </rPr>
      <t>海关查验仓库</t>
    </r>
    <r>
      <rPr>
        <i/>
        <sz val="10"/>
        <color theme="1"/>
        <rFont val="Arial"/>
        <charset val="134"/>
      </rPr>
      <t>)</t>
    </r>
  </si>
  <si>
    <r>
      <rPr>
        <b/>
        <i/>
        <sz val="10"/>
        <color theme="1"/>
        <rFont val="宋体"/>
        <charset val="134"/>
      </rPr>
      <t>自建南区</t>
    </r>
  </si>
  <si>
    <r>
      <rPr>
        <i/>
        <sz val="10"/>
        <color theme="1"/>
        <rFont val="Arial"/>
        <charset val="134"/>
      </rPr>
      <t>P001(</t>
    </r>
    <r>
      <rPr>
        <i/>
        <sz val="10"/>
        <color theme="1"/>
        <rFont val="宋体"/>
        <charset val="134"/>
      </rPr>
      <t>自建南区</t>
    </r>
    <r>
      <rPr>
        <i/>
        <sz val="10"/>
        <color theme="1"/>
        <rFont val="Arial"/>
        <charset val="134"/>
      </rPr>
      <t>)</t>
    </r>
  </si>
  <si>
    <r>
      <rPr>
        <i/>
        <sz val="10"/>
        <color theme="1"/>
        <rFont val="Arial"/>
        <charset val="134"/>
      </rPr>
      <t>Q001(</t>
    </r>
    <r>
      <rPr>
        <i/>
        <sz val="10"/>
        <color theme="1"/>
        <rFont val="宋体"/>
        <charset val="134"/>
      </rPr>
      <t>自建南区</t>
    </r>
    <r>
      <rPr>
        <i/>
        <sz val="10"/>
        <color theme="1"/>
        <rFont val="Arial"/>
        <charset val="134"/>
      </rPr>
      <t>)</t>
    </r>
  </si>
  <si>
    <r>
      <rPr>
        <i/>
        <sz val="10"/>
        <color theme="1"/>
        <rFont val="Arial"/>
        <charset val="134"/>
      </rPr>
      <t>Q002(</t>
    </r>
    <r>
      <rPr>
        <i/>
        <sz val="10"/>
        <color theme="1"/>
        <rFont val="宋体"/>
        <charset val="134"/>
      </rPr>
      <t>自建南区</t>
    </r>
    <r>
      <rPr>
        <i/>
        <sz val="10"/>
        <color theme="1"/>
        <rFont val="Arial"/>
        <charset val="134"/>
      </rPr>
      <t>)</t>
    </r>
  </si>
  <si>
    <r>
      <rPr>
        <i/>
        <sz val="10"/>
        <color theme="1"/>
        <rFont val="Arial"/>
        <charset val="134"/>
      </rPr>
      <t>R001(</t>
    </r>
    <r>
      <rPr>
        <i/>
        <sz val="10"/>
        <color theme="1"/>
        <rFont val="宋体"/>
        <charset val="134"/>
      </rPr>
      <t>自建南区</t>
    </r>
    <r>
      <rPr>
        <i/>
        <sz val="10"/>
        <color theme="1"/>
        <rFont val="Arial"/>
        <charset val="134"/>
      </rPr>
      <t>)</t>
    </r>
  </si>
  <si>
    <r>
      <rPr>
        <i/>
        <sz val="10"/>
        <color theme="1"/>
        <rFont val="Arial"/>
        <charset val="134"/>
      </rPr>
      <t>R002(</t>
    </r>
    <r>
      <rPr>
        <i/>
        <sz val="10"/>
        <color theme="1"/>
        <rFont val="宋体"/>
        <charset val="134"/>
      </rPr>
      <t>自建南区</t>
    </r>
    <r>
      <rPr>
        <i/>
        <sz val="10"/>
        <color theme="1"/>
        <rFont val="Arial"/>
        <charset val="134"/>
      </rPr>
      <t>)</t>
    </r>
  </si>
  <si>
    <r>
      <rPr>
        <b/>
        <i/>
        <sz val="10"/>
        <color theme="1"/>
        <rFont val="宋体"/>
        <charset val="134"/>
      </rPr>
      <t>先行启动区</t>
    </r>
  </si>
  <si>
    <r>
      <rPr>
        <i/>
        <sz val="10"/>
        <color theme="1"/>
        <rFont val="宋体"/>
        <charset val="134"/>
      </rPr>
      <t>海关查验中心</t>
    </r>
    <r>
      <rPr>
        <i/>
        <sz val="10"/>
        <color theme="1"/>
        <rFont val="Arial"/>
        <charset val="134"/>
      </rPr>
      <t>(</t>
    </r>
    <r>
      <rPr>
        <i/>
        <sz val="10"/>
        <color theme="1"/>
        <rFont val="宋体"/>
        <charset val="134"/>
      </rPr>
      <t>先行启动区</t>
    </r>
    <r>
      <rPr>
        <i/>
        <sz val="10"/>
        <color theme="1"/>
        <rFont val="Arial"/>
        <charset val="134"/>
      </rPr>
      <t>)</t>
    </r>
  </si>
  <si>
    <t>新能源利用</t>
  </si>
  <si>
    <t>商贸物流中心(一期先行启动区)空气源热泵空调系统工程</t>
  </si>
  <si>
    <t>2028.7</t>
  </si>
  <si>
    <t>智慧运营系统</t>
  </si>
  <si>
    <r>
      <rPr>
        <sz val="10"/>
        <color theme="1"/>
        <rFont val="宋体"/>
        <charset val="134"/>
      </rPr>
      <t>园区智慧运营系统设备与软件，含综保税区</t>
    </r>
    <r>
      <rPr>
        <sz val="10"/>
        <color theme="1"/>
        <rFont val="Arial"/>
        <charset val="134"/>
      </rPr>
      <t>IOC</t>
    </r>
    <r>
      <rPr>
        <sz val="10"/>
        <color theme="1"/>
        <rFont val="宋体"/>
        <charset val="134"/>
      </rPr>
      <t>平台、园区能源能耗管理、碳管理、</t>
    </r>
    <r>
      <rPr>
        <sz val="10"/>
        <color theme="1"/>
        <rFont val="Arial"/>
        <charset val="134"/>
      </rPr>
      <t>ESG</t>
    </r>
    <r>
      <rPr>
        <sz val="10"/>
        <color theme="1"/>
        <rFont val="宋体"/>
        <charset val="134"/>
      </rPr>
      <t>可视、资产管理、交通出入园管理、智慧安防、智慧消防、园区企业管理等</t>
    </r>
  </si>
  <si>
    <r>
      <rPr>
        <i/>
        <sz val="10"/>
        <color theme="1"/>
        <rFont val="宋体"/>
        <charset val="134"/>
      </rPr>
      <t>智慧运营平台</t>
    </r>
  </si>
  <si>
    <t>综合信息化平台</t>
  </si>
  <si>
    <t>智慧海关辅助监管平台、应用支撑平台、企业通关服务平台、多式联运平台、园区车辆行人管控设备、园区视频设备、园区办公信息化设备、园区安全 / 能效 /消防设备、数字化月台、数字化仓库、一站式安检区、检疫处理区等</t>
  </si>
  <si>
    <t>4.3.1</t>
  </si>
  <si>
    <t>智慧海关辅助监管平台</t>
  </si>
  <si>
    <t>4.3.2</t>
  </si>
  <si>
    <t>应用支撑平台</t>
  </si>
  <si>
    <t>4.3.3</t>
  </si>
  <si>
    <t>企业通关服务平台</t>
  </si>
  <si>
    <t>4.3.4</t>
  </si>
  <si>
    <t>多式联运平台</t>
  </si>
  <si>
    <t>4.3.5</t>
  </si>
  <si>
    <t>园区车辆行人管控设备</t>
  </si>
  <si>
    <t>4.3.6</t>
  </si>
  <si>
    <t>园区视频设备</t>
  </si>
  <si>
    <t>4.3.7</t>
  </si>
  <si>
    <t>园区办公信息化设备</t>
  </si>
  <si>
    <t>4.3.8</t>
  </si>
  <si>
    <t>园区安全、能效、消防设备</t>
  </si>
  <si>
    <t>4.3.9</t>
  </si>
  <si>
    <t>数字化月台</t>
  </si>
  <si>
    <t>4.3.10</t>
  </si>
  <si>
    <t>数字化仓库</t>
  </si>
  <si>
    <t>4.3.11</t>
  </si>
  <si>
    <t>一站式安检区</t>
  </si>
  <si>
    <t>4.3.12</t>
  </si>
  <si>
    <t>检疫处理区</t>
  </si>
  <si>
    <t>小计</t>
  </si>
  <si>
    <r>
      <rPr>
        <b/>
        <sz val="10"/>
        <color theme="1"/>
        <rFont val="宋体"/>
        <charset val="134"/>
      </rPr>
      <t>组成部分</t>
    </r>
    <r>
      <rPr>
        <b/>
        <sz val="10"/>
        <color theme="1"/>
        <rFont val="Arial"/>
        <charset val="134"/>
      </rPr>
      <t>4</t>
    </r>
    <r>
      <rPr>
        <b/>
        <sz val="10"/>
        <color theme="1"/>
        <rFont val="Arial"/>
        <charset val="134"/>
      </rPr>
      <t xml:space="preserve">: </t>
    </r>
  </si>
  <si>
    <t>能力建设</t>
  </si>
  <si>
    <r>
      <rPr>
        <sz val="10"/>
        <color theme="1"/>
        <rFont val="宋体"/>
        <charset val="134"/>
      </rPr>
      <t>项目管理</t>
    </r>
  </si>
  <si>
    <t>项目管理技术支持、培训、考察、知识产品开发推广等</t>
  </si>
  <si>
    <t>咨询服务</t>
  </si>
  <si>
    <t>HGAC-CS02</t>
  </si>
  <si>
    <r>
      <rPr>
        <sz val="10"/>
        <color theme="1"/>
        <rFont val="宋体"/>
        <charset val="134"/>
      </rPr>
      <t>项目监测评价</t>
    </r>
  </si>
  <si>
    <r>
      <rPr>
        <sz val="10"/>
        <color theme="1"/>
        <rFont val="宋体"/>
        <charset val="134"/>
      </rPr>
      <t>外部环境监测、外部移民监测、外部社会和性别监测、项目绩效评估等</t>
    </r>
  </si>
  <si>
    <t>HGAC-CS03</t>
  </si>
  <si>
    <t>国际或国内绿建认证</t>
  </si>
  <si>
    <r>
      <rPr>
        <sz val="10"/>
        <color theme="1"/>
        <rFont val="宋体"/>
        <charset val="134"/>
      </rPr>
      <t>园区建筑</t>
    </r>
    <r>
      <rPr>
        <sz val="10"/>
        <color theme="1"/>
        <rFont val="等线"/>
        <charset val="134"/>
      </rPr>
      <t>国际或</t>
    </r>
    <r>
      <rPr>
        <sz val="10"/>
        <color theme="1"/>
        <rFont val="等线"/>
        <charset val="134"/>
      </rPr>
      <t>国内绿建</t>
    </r>
    <r>
      <rPr>
        <sz val="10"/>
        <color theme="1"/>
        <rFont val="宋体"/>
        <charset val="134"/>
      </rPr>
      <t>认证咨询服务</t>
    </r>
  </si>
  <si>
    <t>2025.8</t>
  </si>
  <si>
    <r>
      <rPr>
        <sz val="10"/>
        <color theme="1"/>
        <rFont val="宋体"/>
        <charset val="134"/>
      </rPr>
      <t>绿建三星认证咨询</t>
    </r>
  </si>
  <si>
    <t>园区建筑绿色建筑认证咨询服务</t>
  </si>
  <si>
    <t>海关监管模式创新课题研究</t>
  </si>
  <si>
    <t>多检合一创新课题研究</t>
  </si>
  <si>
    <t>多式联运创新课题研究</t>
  </si>
  <si>
    <t>总计</t>
  </si>
  <si>
    <r>
      <rPr>
        <sz val="10"/>
        <color theme="1"/>
        <rFont val="Arial"/>
        <charset val="134"/>
      </rPr>
      <t>CW</t>
    </r>
    <r>
      <rPr>
        <sz val="10"/>
        <color theme="1"/>
        <rFont val="宋体"/>
        <charset val="134"/>
      </rPr>
      <t>土建</t>
    </r>
  </si>
  <si>
    <r>
      <rPr>
        <sz val="10"/>
        <color theme="1"/>
        <rFont val="Arial"/>
        <charset val="134"/>
      </rPr>
      <t>Goods</t>
    </r>
    <r>
      <rPr>
        <sz val="10"/>
        <color theme="1"/>
        <rFont val="宋体"/>
        <charset val="134"/>
      </rPr>
      <t>货物</t>
    </r>
  </si>
  <si>
    <r>
      <rPr>
        <sz val="10"/>
        <color theme="1"/>
        <rFont val="Arial"/>
        <charset val="134"/>
      </rPr>
      <t>Consulting Services</t>
    </r>
    <r>
      <rPr>
        <sz val="10"/>
        <color theme="1"/>
        <rFont val="宋体"/>
        <charset val="134"/>
      </rPr>
      <t>咨询服务</t>
    </r>
  </si>
  <si>
    <t>Attachment 1-China: Hubei Global Air Cargo Logistics Hub Project----Procurement Plan (Updated December 2024)</t>
  </si>
  <si>
    <t>AIIB Loan Appraisal Mission MoM</t>
  </si>
  <si>
    <t>Description</t>
  </si>
  <si>
    <t>Cost Estimate</t>
  </si>
  <si>
    <t>% of AIIB Financing</t>
  </si>
  <si>
    <t>Procurement Category</t>
  </si>
  <si>
    <t>Contract Duration (Months)</t>
  </si>
  <si>
    <t>Bank Review
(Prior / Post)</t>
  </si>
  <si>
    <t>Date of SPN</t>
  </si>
  <si>
    <t>Bid Openning</t>
  </si>
  <si>
    <t>Contract Signing</t>
  </si>
  <si>
    <t>Contract Closing</t>
  </si>
  <si>
    <t>CNY million</t>
  </si>
  <si>
    <t>$ million</t>
  </si>
  <si>
    <t>Customs Operation Facilities</t>
  </si>
  <si>
    <t>(1) Customs Inspection Center T01 (10,911 m2) ; (2) Customs Kiosk &amp; Fence: #2 Customs Kiosk (949 m2), Fence (7,730 m)</t>
  </si>
  <si>
    <t>Works</t>
  </si>
  <si>
    <t>Post</t>
  </si>
  <si>
    <t>Bonded Logistics Warehouse (1)</t>
  </si>
  <si>
    <t>Bonded Logistics Warehouse (2)</t>
  </si>
  <si>
    <t>Bonded and Processing Warehouses</t>
  </si>
  <si>
    <t>Auxiliary Facilities</t>
  </si>
  <si>
    <t>Bonded Logistics Warehouses (1)</t>
  </si>
  <si>
    <t>Bonded Logistics Warehoue M01 (20,396 m2)</t>
  </si>
  <si>
    <t>Bonded Logistics Warehouse (5)</t>
  </si>
  <si>
    <t>Bonded Logistics Warehouse (6)</t>
  </si>
  <si>
    <t>Bonded Logistics Warehouse (7)</t>
  </si>
  <si>
    <t>Bonded Logistics Warehouse (8)</t>
  </si>
  <si>
    <t>Bonded Logistics Warehouse (9)</t>
  </si>
  <si>
    <t>Bonded Logistics Warehouse (10)</t>
  </si>
  <si>
    <t>Bonded Logistics Warehouse (11)</t>
  </si>
  <si>
    <t>Bonded Logistics Warehouse (12)</t>
  </si>
  <si>
    <t>Bonded Logistics Warehouse (13)</t>
  </si>
  <si>
    <t>Bonded Logistics Warehouse (14)</t>
  </si>
  <si>
    <t>Bonded Logistics Warehouses (2)</t>
  </si>
  <si>
    <t>Bonded Logistics Warehouse J01 / K010, Elevated Platform #3 (42,780 m2)</t>
  </si>
  <si>
    <t>Bonded Logistics Warehouse (16)</t>
  </si>
  <si>
    <t>Bonded Logistics Warehouse (17)</t>
  </si>
  <si>
    <t>Bonded Logistics Warehouse (18)</t>
  </si>
  <si>
    <t>Bonded Logistics Warehouse (19)</t>
  </si>
  <si>
    <t>Bonded Logistics Warehouse (20)</t>
  </si>
  <si>
    <t>Bonded Logistics Warehouse (21)</t>
  </si>
  <si>
    <t>Bonded Logistics Warehouse (22)</t>
  </si>
  <si>
    <t>Bonded Logistics Warehouse (23)</t>
  </si>
  <si>
    <t>Bonded Logistics Warehouse (24)</t>
  </si>
  <si>
    <t>Bonded Logistics Warehouse (25)</t>
  </si>
  <si>
    <t>Bonded Logistics Warehouse (26)</t>
  </si>
  <si>
    <t>Bonded Logistics Warehouse (27)</t>
  </si>
  <si>
    <t>Bonded Logistics Warehouse (28)</t>
  </si>
  <si>
    <t>Bonded Logistics Warehouse (29)</t>
  </si>
  <si>
    <t>Bonded Logistics Warehouse (30)</t>
  </si>
  <si>
    <t>Bonded Logistics Warehouse (31)</t>
  </si>
  <si>
    <t>Bonded Logistics Warehouse (32)</t>
  </si>
  <si>
    <t>Bonded Logistics Warehouse (33)</t>
  </si>
  <si>
    <t>Bonded Logistics Warehouse (34)</t>
  </si>
  <si>
    <t>Bonded Logistics Warehouse (35)</t>
  </si>
  <si>
    <t>Bonded Logistics Warehouse (36)</t>
  </si>
  <si>
    <t>Bonded Logistics Warehouse (37)</t>
  </si>
  <si>
    <t>Bonded Logistics Warehouse (38)</t>
  </si>
  <si>
    <t>Bonded Logistics Warehouse (39)</t>
  </si>
  <si>
    <t>Bonded Logistics Warehouse (40)</t>
  </si>
  <si>
    <t>Bonded Logistics Warehouse (41)</t>
  </si>
  <si>
    <t>Bonded Logistics Warehouse (42)</t>
  </si>
  <si>
    <t>Bonded Logistics Warehouse (43)</t>
  </si>
  <si>
    <t>Bonded Logistics Warehouse (44)</t>
  </si>
  <si>
    <t>Bonded Logistics Warehouses (3)</t>
  </si>
  <si>
    <t>Bonded Logistics Warehouse H01 / H02 / E05 and Elevated Platform #2 (121,805 m2)</t>
  </si>
  <si>
    <t>Bonded Logistics Warehouse (46)</t>
  </si>
  <si>
    <t>Bonded Logistics Warehouse (47)</t>
  </si>
  <si>
    <t>Bonded Logistics Warehouse (48)</t>
  </si>
  <si>
    <t>Bonded Logistics Warehouse (49)</t>
  </si>
  <si>
    <t>Bonded Logistics Warehouse (50)</t>
  </si>
  <si>
    <t>Bonded Logistics Warehouse (51)</t>
  </si>
  <si>
    <t>Bonded Logistics Warehouse (52)</t>
  </si>
  <si>
    <t>Bonded Logistics Warehouse (53)</t>
  </si>
  <si>
    <t>Bonded Logistics Warehouse (54)</t>
  </si>
  <si>
    <t>Bonded Logistics Warehouse (55)</t>
  </si>
  <si>
    <t>Bonded Logistics Warehouse (56)</t>
  </si>
  <si>
    <t>Bonded Logistics Warehouse (57)</t>
  </si>
  <si>
    <t>Bonded Logistics Warehouse (58)</t>
  </si>
  <si>
    <t>Bonded Logistics Warehouse (59)</t>
  </si>
  <si>
    <t>Bonded Logistics Warehouse (60)</t>
  </si>
  <si>
    <t>Bonded Logistics Warehouse (61)</t>
  </si>
  <si>
    <t>Bonded Logistics Warehouse (62)</t>
  </si>
  <si>
    <t>Bonded Logistics Warehouse (63)</t>
  </si>
  <si>
    <t>Bonded Logistics Warehouse (64)</t>
  </si>
  <si>
    <t>Bonded Logistics Warehouse (65)</t>
  </si>
  <si>
    <t>Bonded Logistics Warehouse (66)</t>
  </si>
  <si>
    <t>Bonded Logistics Warehouse (67)</t>
  </si>
  <si>
    <t>Bonded Logistics Warehouse (68)</t>
  </si>
  <si>
    <t>Bonded Logistics Warehouse (69)</t>
  </si>
  <si>
    <t>Bonded Logistics Warehouse (70)</t>
  </si>
  <si>
    <t>Bonded Logistics Warehouse (71)</t>
  </si>
  <si>
    <t>Bonded Logistics Warehouse (72)</t>
  </si>
  <si>
    <t>Bonded Logistics Warehouse (73)</t>
  </si>
  <si>
    <t>Bonded Logistics Warehouse (74)</t>
  </si>
  <si>
    <t>Bonded Logistics Warehouse (75)</t>
  </si>
  <si>
    <t>Bonded Logistics Warehouse (76)</t>
  </si>
  <si>
    <t>Bonded Logistics Warehouse (77)</t>
  </si>
  <si>
    <t>Bonded Logistics Warehouse (78)</t>
  </si>
  <si>
    <t>Bonded Logistics Warehouse (79)</t>
  </si>
  <si>
    <t>Bonded Logistics Warehouse (80)</t>
  </si>
  <si>
    <t>Bonded Logistics Warehouse (81)</t>
  </si>
  <si>
    <t>Bonded Logistics Warehouse (82)</t>
  </si>
  <si>
    <t>Bonded Logistics Warehouse (83)</t>
  </si>
  <si>
    <t>Bonded Logistics Warehouse (84)</t>
  </si>
  <si>
    <t>Bonded Logistics Warehouse (85)</t>
  </si>
  <si>
    <t>Bonded Logistics Warehouse (86)</t>
  </si>
  <si>
    <t>Bonded Logistics Warehouse (87)</t>
  </si>
  <si>
    <t>Bonded Logistics Warehouses (4)</t>
  </si>
  <si>
    <t>Bonded Logistics Warehouse H03 / H04 / L01 (100,098 m2)</t>
  </si>
  <si>
    <t>Bonded Processing Warehouses</t>
  </si>
  <si>
    <t>Bonded Processing Warehouse E01 / E02 / E03 / E04 (57,184 m2)</t>
  </si>
  <si>
    <t>Contrainer Truck Ramp #3 / #4 / #5, Guard Station, Equipment Room</t>
  </si>
  <si>
    <t>(1) Duty-Free Service Center S01 (10,450 m2); (2) Comprehensive Office Building W01 (39,432 m2)</t>
  </si>
  <si>
    <t>Roads (EPC Contract)</t>
  </si>
  <si>
    <t>(1) Elevated Connecting Bridge #1 (Roadbed Area = 2,667 m2) / #2 (Roadbed Area = 2,375 m2); (2) 4 Roads in Phase II Area (Guihua Road No. 2 = 581.6 m / Guihua Road No. 3 = 990 m / Guihua Road No. 4  = 1,075 m / Guihua Road No. 5 = 354 m), and associated infrastructures</t>
  </si>
  <si>
    <t>Earth Works</t>
  </si>
  <si>
    <t>Earth Works for Phase II</t>
  </si>
  <si>
    <t>1st Works Contract</t>
  </si>
  <si>
    <t>Roof-Top Photovolviac (1)</t>
  </si>
  <si>
    <r>
      <rPr>
        <sz val="10"/>
        <color theme="1"/>
        <rFont val="Arial"/>
        <charset val="134"/>
      </rPr>
      <t>(1) Roof-Top Volvtaic for Phase II buildings including Customs Inspection Center (Phase I), International Express Center #1 / #2, Bonded Logistics Center (Type B) #1 / #2 / #3 and International Cargo Terminal,  totalling 76,134 m2</t>
    </r>
    <r>
      <rPr>
        <sz val="10"/>
        <color theme="1"/>
        <rFont val="宋体"/>
        <charset val="134"/>
      </rPr>
      <t>；</t>
    </r>
    <r>
      <rPr>
        <sz val="10"/>
        <color theme="1"/>
        <rFont val="Arial"/>
        <charset val="134"/>
      </rPr>
      <t>(2) Phase II buildings including Bonded Logistics Warehouse P01 / R01 / R02 and Bonded Processing Warehouse Q01 / Q02, totalling 87,936 m2. (1) + (2) = 164,070 m2</t>
    </r>
  </si>
  <si>
    <t>1st Goods Contract</t>
  </si>
  <si>
    <t>Roof-Top Photovolviac (2)</t>
  </si>
  <si>
    <t>All buildings in Phase II including Duty-Free Service Center S01, Comprehensive Office Building W01, Customs Inspection Warehouse T01, Bonded Logistics Warehouse E01~E04 / H01~H04 / J01 / K01 / L01 / M01, totalling 196,714 m2</t>
  </si>
  <si>
    <t>Use of New Energy</t>
  </si>
  <si>
    <t>Air heat pump energy for air conditioning system for Business Logistics Center (Phase I)</t>
  </si>
  <si>
    <t>Smart Operations System</t>
  </si>
  <si>
    <t>Intelligent operation system equipment and software for the park, including the IOC platform of the bonded zone, energy consumption management, carbon management, ESG visualization, asset management, transportation access management, smart security, smart fire protection, park enterprise management, etc</t>
  </si>
  <si>
    <t>Integrated Information System</t>
  </si>
  <si>
    <t>Smart customs auxiliary supervision platform, application support platform, enterprise customs clearance service platform, multimodal transport platform, park vehicle and dedestrian control equipment, park video equipment, park office informatization equipment, park safety/energy efficiency/firefighting equipment, digital platform, digital warehouse, one-stop security inspection area, quarantine processing area, etc.</t>
  </si>
  <si>
    <t>ICOT</t>
  </si>
  <si>
    <t>Project management technical support, training, study tours, knowledge product development and dissemination</t>
  </si>
  <si>
    <t>Project M&amp;E</t>
  </si>
  <si>
    <t>External environmental monitoring, external resettlement monitoring, external social / gender monitoring, project performance monitoring, etc.</t>
  </si>
  <si>
    <r>
      <rPr>
        <sz val="10"/>
        <color theme="1"/>
        <rFont val="Arial"/>
        <charset val="134"/>
      </rPr>
      <t xml:space="preserve">Green Building </t>
    </r>
    <r>
      <rPr>
        <sz val="10"/>
        <color theme="1"/>
        <rFont val="Arial"/>
        <charset val="134"/>
      </rPr>
      <t>Certification</t>
    </r>
  </si>
  <si>
    <t xml:space="preserve">Consulting services for certifying building to international or domestic standards </t>
  </si>
  <si>
    <t>3-Star Green Building Certification</t>
  </si>
  <si>
    <t>Consulting services for 3-star certification of buildings</t>
  </si>
  <si>
    <t>Research on Innovative Models for Customs Control &amp; Supervision</t>
  </si>
  <si>
    <t>NCS/QCBS</t>
  </si>
  <si>
    <t>Research on Innovative Models for Integrated Multi-Quarantine Service</t>
  </si>
  <si>
    <t>Research on Innovative Models for Integrated Multi-Quanrantine Service</t>
  </si>
  <si>
    <t>Research on Innovative Models for Multi-Modal Transport</t>
  </si>
  <si>
    <t>GRAND TOTAL</t>
  </si>
  <si>
    <r>
      <rPr>
        <b/>
        <sz val="14"/>
        <color theme="1"/>
        <rFont val="宋体"/>
        <charset val="134"/>
      </rPr>
      <t>附件</t>
    </r>
    <r>
      <rPr>
        <b/>
        <sz val="14"/>
        <color theme="1"/>
        <rFont val="Arial"/>
        <charset val="134"/>
      </rPr>
      <t>1-</t>
    </r>
    <r>
      <rPr>
        <b/>
        <sz val="14"/>
        <color theme="1"/>
        <rFont val="等线 Light"/>
        <charset val="134"/>
      </rPr>
      <t>亚投行贷款湖北航空货运产业园项目采购计划</t>
    </r>
    <r>
      <rPr>
        <b/>
        <sz val="14"/>
        <color theme="1"/>
        <rFont val="Arial"/>
        <charset val="134"/>
      </rPr>
      <t xml:space="preserve"> (2024</t>
    </r>
    <r>
      <rPr>
        <b/>
        <sz val="14"/>
        <color theme="1"/>
        <rFont val="等线 Light"/>
        <charset val="134"/>
      </rPr>
      <t>年</t>
    </r>
    <r>
      <rPr>
        <b/>
        <sz val="14"/>
        <color theme="1"/>
        <rFont val="Arial"/>
        <charset val="134"/>
      </rPr>
      <t>4</t>
    </r>
    <r>
      <rPr>
        <b/>
        <sz val="14"/>
        <color theme="1"/>
        <rFont val="等线 Light"/>
        <charset val="134"/>
      </rPr>
      <t>月</t>
    </r>
    <r>
      <rPr>
        <b/>
        <sz val="14"/>
        <color theme="1"/>
        <rFont val="Arial"/>
        <charset val="134"/>
      </rPr>
      <t>)</t>
    </r>
  </si>
  <si>
    <r>
      <rPr>
        <b/>
        <sz val="10"/>
        <color theme="1"/>
        <rFont val="等线 Light"/>
        <charset val="134"/>
      </rPr>
      <t>亚投行贷款额</t>
    </r>
  </si>
  <si>
    <t>人民币 (万元)</t>
  </si>
  <si>
    <r>
      <rPr>
        <sz val="10"/>
        <rFont val="Arial"/>
        <charset val="134"/>
      </rPr>
      <t xml:space="preserve">(1) </t>
    </r>
    <r>
      <rPr>
        <sz val="10"/>
        <rFont val="宋体"/>
        <charset val="134"/>
      </rPr>
      <t>海关查验仓库</t>
    </r>
    <r>
      <rPr>
        <sz val="10"/>
        <rFont val="Arial"/>
        <charset val="134"/>
      </rPr>
      <t>T01</t>
    </r>
    <r>
      <rPr>
        <sz val="10"/>
        <rFont val="宋体"/>
        <charset val="134"/>
      </rPr>
      <t>，面积</t>
    </r>
    <r>
      <rPr>
        <sz val="10"/>
        <rFont val="Arial"/>
        <charset val="134"/>
      </rPr>
      <t xml:space="preserve">10,911 m2 ; (2) </t>
    </r>
    <r>
      <rPr>
        <sz val="10"/>
        <rFont val="宋体"/>
        <charset val="134"/>
      </rPr>
      <t>卡口与围网</t>
    </r>
    <r>
      <rPr>
        <sz val="10"/>
        <rFont val="Arial"/>
        <charset val="134"/>
      </rPr>
      <t>: #2</t>
    </r>
    <r>
      <rPr>
        <sz val="10"/>
        <rFont val="宋体"/>
        <charset val="134"/>
      </rPr>
      <t>海关卡口</t>
    </r>
    <r>
      <rPr>
        <sz val="10"/>
        <rFont val="Arial"/>
        <charset val="134"/>
      </rPr>
      <t xml:space="preserve"> 949 m2</t>
    </r>
    <r>
      <rPr>
        <sz val="10"/>
        <rFont val="宋体"/>
        <charset val="134"/>
      </rPr>
      <t>、围网</t>
    </r>
    <r>
      <rPr>
        <sz val="10"/>
        <rFont val="Arial"/>
        <charset val="134"/>
      </rPr>
      <t>7,730 m</t>
    </r>
  </si>
  <si>
    <r>
      <rPr>
        <i/>
        <sz val="10"/>
        <color rgb="FFFF0000"/>
        <rFont val="Arial"/>
        <charset val="134"/>
      </rPr>
      <t xml:space="preserve">T01 </t>
    </r>
    <r>
      <rPr>
        <i/>
        <sz val="10"/>
        <color rgb="FFFF0000"/>
        <rFont val="宋体"/>
        <charset val="134"/>
      </rPr>
      <t>海关查验仓库</t>
    </r>
  </si>
  <si>
    <r>
      <rPr>
        <i/>
        <sz val="10"/>
        <color rgb="FFFF0000"/>
        <rFont val="宋体"/>
        <charset val="134"/>
      </rPr>
      <t>土建工程</t>
    </r>
  </si>
  <si>
    <r>
      <rPr>
        <i/>
        <sz val="10"/>
        <color rgb="FFFF0000"/>
        <rFont val="宋体"/>
        <charset val="134"/>
      </rPr>
      <t>给排水工程</t>
    </r>
  </si>
  <si>
    <r>
      <rPr>
        <i/>
        <sz val="10"/>
        <color rgb="FFFF0000"/>
        <rFont val="宋体"/>
        <charset val="134"/>
      </rPr>
      <t>电气工程</t>
    </r>
  </si>
  <si>
    <r>
      <rPr>
        <i/>
        <sz val="10"/>
        <color rgb="FFFF0000"/>
        <rFont val="宋体"/>
        <charset val="134"/>
      </rPr>
      <t>暖通工程</t>
    </r>
  </si>
  <si>
    <r>
      <rPr>
        <i/>
        <sz val="10"/>
        <color rgb="FFFF0000"/>
        <rFont val="宋体"/>
        <charset val="134"/>
      </rPr>
      <t>消防工程</t>
    </r>
  </si>
  <si>
    <r>
      <rPr>
        <i/>
        <sz val="10"/>
        <color rgb="FFFF0000"/>
        <rFont val="宋体"/>
        <charset val="134"/>
      </rPr>
      <t>设备工程</t>
    </r>
  </si>
  <si>
    <r>
      <rPr>
        <i/>
        <sz val="10"/>
        <color rgb="FFFF0000"/>
        <rFont val="宋体"/>
        <charset val="134"/>
      </rPr>
      <t>场平工程</t>
    </r>
  </si>
  <si>
    <r>
      <rPr>
        <i/>
        <sz val="10"/>
        <color rgb="FFFF0000"/>
        <rFont val="宋体"/>
        <charset val="134"/>
      </rPr>
      <t>室外工程</t>
    </r>
  </si>
  <si>
    <r>
      <rPr>
        <i/>
        <sz val="10"/>
        <color rgb="FFFF0000"/>
        <rFont val="宋体"/>
        <charset val="134"/>
      </rPr>
      <t>绿建工程</t>
    </r>
  </si>
  <si>
    <r>
      <rPr>
        <i/>
        <sz val="10"/>
        <color rgb="FFFF0000"/>
        <rFont val="宋体"/>
        <charset val="134"/>
      </rPr>
      <t>废弃物绿色处理</t>
    </r>
  </si>
  <si>
    <r>
      <rPr>
        <i/>
        <sz val="10"/>
        <color rgb="FFFF0000"/>
        <rFont val="宋体"/>
        <charset val="134"/>
      </rPr>
      <t>雨洪管理设施</t>
    </r>
  </si>
  <si>
    <r>
      <rPr>
        <i/>
        <sz val="10"/>
        <color rgb="FFFF0000"/>
        <rFont val="Arial"/>
        <charset val="134"/>
      </rPr>
      <t>LEED</t>
    </r>
    <r>
      <rPr>
        <i/>
        <sz val="10"/>
        <color rgb="FFFF0000"/>
        <rFont val="宋体"/>
        <charset val="134"/>
      </rPr>
      <t>认证增量措施</t>
    </r>
  </si>
  <si>
    <r>
      <rPr>
        <i/>
        <sz val="10.5"/>
        <color rgb="FFFF0000"/>
        <rFont val="Arial"/>
        <charset val="134"/>
      </rPr>
      <t>2#</t>
    </r>
    <r>
      <rPr>
        <i/>
        <sz val="10.5"/>
        <color rgb="FFFF0000"/>
        <rFont val="宋体"/>
        <charset val="134"/>
      </rPr>
      <t>海关卡口</t>
    </r>
  </si>
  <si>
    <r>
      <rPr>
        <i/>
        <sz val="10.5"/>
        <color rgb="FFFF0000"/>
        <rFont val="宋体"/>
        <charset val="134"/>
      </rPr>
      <t>地基处理</t>
    </r>
  </si>
  <si>
    <r>
      <rPr>
        <i/>
        <sz val="10.5"/>
        <color rgb="FFFF0000"/>
        <rFont val="宋体"/>
        <charset val="134"/>
      </rPr>
      <t>土建工程</t>
    </r>
  </si>
  <si>
    <r>
      <rPr>
        <i/>
        <sz val="10.5"/>
        <color rgb="FFFF0000"/>
        <rFont val="宋体"/>
        <charset val="134"/>
      </rPr>
      <t>给排水工程</t>
    </r>
  </si>
  <si>
    <r>
      <rPr>
        <i/>
        <sz val="10.5"/>
        <color rgb="FFFF0000"/>
        <rFont val="宋体"/>
        <charset val="134"/>
      </rPr>
      <t>暖通工程</t>
    </r>
  </si>
  <si>
    <r>
      <rPr>
        <i/>
        <sz val="10.5"/>
        <color rgb="FFFF0000"/>
        <rFont val="宋体"/>
        <charset val="134"/>
      </rPr>
      <t>电气工程</t>
    </r>
  </si>
  <si>
    <r>
      <rPr>
        <i/>
        <sz val="10.5"/>
        <color rgb="FFFF0000"/>
        <rFont val="宋体"/>
        <charset val="134"/>
      </rPr>
      <t>抗震支架</t>
    </r>
  </si>
  <si>
    <r>
      <rPr>
        <i/>
        <sz val="10"/>
        <color rgb="FFFF0000"/>
        <rFont val="宋体"/>
        <charset val="134"/>
      </rPr>
      <t>标识标牌</t>
    </r>
  </si>
  <si>
    <r>
      <rPr>
        <i/>
        <sz val="10"/>
        <color rgb="FFFF0000"/>
        <rFont val="宋体"/>
        <charset val="134"/>
      </rPr>
      <t>海关围网</t>
    </r>
  </si>
  <si>
    <r>
      <rPr>
        <sz val="10"/>
        <rFont val="宋体"/>
        <charset val="134"/>
      </rPr>
      <t xml:space="preserve">保税物流仓库 </t>
    </r>
    <r>
      <rPr>
        <sz val="10"/>
        <rFont val="Arial"/>
        <charset val="134"/>
      </rPr>
      <t>(</t>
    </r>
    <r>
      <rPr>
        <sz val="10"/>
        <rFont val="宋体"/>
        <charset val="134"/>
      </rPr>
      <t>一</t>
    </r>
    <r>
      <rPr>
        <sz val="10"/>
        <rFont val="Arial"/>
        <charset val="134"/>
      </rPr>
      <t>)</t>
    </r>
  </si>
  <si>
    <r>
      <rPr>
        <sz val="10"/>
        <rFont val="宋体"/>
        <charset val="134"/>
      </rPr>
      <t>保税物流仓库</t>
    </r>
    <r>
      <rPr>
        <sz val="10"/>
        <rFont val="Arial"/>
        <charset val="134"/>
      </rPr>
      <t>M01</t>
    </r>
    <r>
      <rPr>
        <sz val="10"/>
        <rFont val="宋体"/>
        <charset val="134"/>
      </rPr>
      <t>，</t>
    </r>
    <r>
      <rPr>
        <sz val="10"/>
        <rFont val="宋体"/>
        <charset val="134"/>
      </rPr>
      <t>建筑面积总计</t>
    </r>
    <r>
      <rPr>
        <sz val="10"/>
        <rFont val="Arial"/>
        <charset val="134"/>
      </rPr>
      <t>20,396 m2</t>
    </r>
  </si>
  <si>
    <r>
      <rPr>
        <i/>
        <sz val="10"/>
        <color rgb="FFFF0000"/>
        <rFont val="Arial"/>
        <charset val="134"/>
      </rPr>
      <t xml:space="preserve">M01 </t>
    </r>
    <r>
      <rPr>
        <i/>
        <sz val="10"/>
        <color rgb="FFFF0000"/>
        <rFont val="宋体"/>
        <charset val="134"/>
      </rPr>
      <t>物流仓库</t>
    </r>
  </si>
  <si>
    <r>
      <rPr>
        <sz val="10"/>
        <rFont val="宋体"/>
        <charset val="134"/>
      </rPr>
      <t xml:space="preserve">保税物流仓库 </t>
    </r>
    <r>
      <rPr>
        <sz val="10"/>
        <rFont val="Arial"/>
        <charset val="134"/>
      </rPr>
      <t>(</t>
    </r>
    <r>
      <rPr>
        <sz val="10"/>
        <rFont val="宋体"/>
        <charset val="134"/>
      </rPr>
      <t>二</t>
    </r>
    <r>
      <rPr>
        <sz val="10"/>
        <rFont val="Arial"/>
        <charset val="134"/>
      </rPr>
      <t>)</t>
    </r>
  </si>
  <si>
    <r>
      <rPr>
        <sz val="10"/>
        <rFont val="宋体"/>
        <charset val="134"/>
      </rPr>
      <t>保税物流仓库</t>
    </r>
    <r>
      <rPr>
        <sz val="10"/>
        <rFont val="Arial"/>
        <charset val="134"/>
      </rPr>
      <t>J01 / K01</t>
    </r>
    <r>
      <rPr>
        <sz val="10"/>
        <rFont val="宋体"/>
        <charset val="134"/>
      </rPr>
      <t>、架空平台</t>
    </r>
    <r>
      <rPr>
        <sz val="10"/>
        <rFont val="Arial"/>
        <charset val="134"/>
      </rPr>
      <t>3</t>
    </r>
    <r>
      <rPr>
        <sz val="10"/>
        <rFont val="宋体"/>
        <charset val="134"/>
      </rPr>
      <t>，</t>
    </r>
    <r>
      <rPr>
        <sz val="10"/>
        <rFont val="宋体"/>
        <charset val="134"/>
      </rPr>
      <t>建筑面积总计</t>
    </r>
    <r>
      <rPr>
        <sz val="10"/>
        <rFont val="Arial"/>
        <charset val="134"/>
      </rPr>
      <t>42,780 m2</t>
    </r>
  </si>
  <si>
    <r>
      <rPr>
        <i/>
        <sz val="10"/>
        <color rgb="FFFF0000"/>
        <rFont val="Arial"/>
        <charset val="134"/>
      </rPr>
      <t xml:space="preserve">J01 </t>
    </r>
    <r>
      <rPr>
        <i/>
        <sz val="10"/>
        <color rgb="FFFF0000"/>
        <rFont val="宋体"/>
        <charset val="134"/>
      </rPr>
      <t>物流仓库</t>
    </r>
  </si>
  <si>
    <r>
      <rPr>
        <i/>
        <sz val="10"/>
        <color rgb="FFFF0000"/>
        <rFont val="等线 Light"/>
        <charset val="134"/>
      </rPr>
      <t>土建</t>
    </r>
  </si>
  <si>
    <r>
      <rPr>
        <i/>
        <sz val="10"/>
        <color rgb="FFFF0000"/>
        <rFont val="Arial"/>
        <charset val="134"/>
      </rPr>
      <t>18</t>
    </r>
    <r>
      <rPr>
        <i/>
        <sz val="10"/>
        <color rgb="FFFF0000"/>
        <rFont val="等线 Light"/>
        <charset val="134"/>
      </rPr>
      <t>个月</t>
    </r>
  </si>
  <si>
    <r>
      <rPr>
        <i/>
        <sz val="10"/>
        <color rgb="FFFF0000"/>
        <rFont val="宋体"/>
        <charset val="134"/>
      </rPr>
      <t>后审</t>
    </r>
  </si>
  <si>
    <r>
      <rPr>
        <i/>
        <sz val="10"/>
        <color rgb="FFFF0000"/>
        <rFont val="等线 Light"/>
        <charset val="134"/>
      </rPr>
      <t>是</t>
    </r>
  </si>
  <si>
    <r>
      <rPr>
        <i/>
        <sz val="10"/>
        <color rgb="FFFF0000"/>
        <rFont val="Arial"/>
        <charset val="134"/>
      </rPr>
      <t xml:space="preserve">K01 </t>
    </r>
    <r>
      <rPr>
        <i/>
        <sz val="10"/>
        <color rgb="FFFF0000"/>
        <rFont val="宋体"/>
        <charset val="134"/>
      </rPr>
      <t>物流仓库</t>
    </r>
  </si>
  <si>
    <r>
      <rPr>
        <i/>
        <sz val="10"/>
        <color rgb="FFFF0000"/>
        <rFont val="宋体"/>
        <charset val="134"/>
      </rPr>
      <t>架空平台</t>
    </r>
    <r>
      <rPr>
        <i/>
        <sz val="10"/>
        <color rgb="FFFF0000"/>
        <rFont val="Arial"/>
        <charset val="134"/>
      </rPr>
      <t>3</t>
    </r>
  </si>
  <si>
    <r>
      <rPr>
        <i/>
        <sz val="10"/>
        <color rgb="FFFF0000"/>
        <rFont val="宋体"/>
        <charset val="134"/>
      </rPr>
      <t>建筑工程</t>
    </r>
  </si>
  <si>
    <r>
      <rPr>
        <i/>
        <sz val="10"/>
        <color rgb="FFFF0000"/>
        <rFont val="宋体"/>
        <charset val="134"/>
      </rPr>
      <t>安装工程</t>
    </r>
  </si>
  <si>
    <r>
      <rPr>
        <sz val="10"/>
        <rFont val="宋体"/>
        <charset val="134"/>
      </rPr>
      <t xml:space="preserve">保税物流仓库 </t>
    </r>
    <r>
      <rPr>
        <sz val="10"/>
        <rFont val="Arial"/>
        <charset val="134"/>
      </rPr>
      <t>(</t>
    </r>
    <r>
      <rPr>
        <sz val="10"/>
        <rFont val="宋体"/>
        <charset val="134"/>
      </rPr>
      <t>三</t>
    </r>
    <r>
      <rPr>
        <sz val="10"/>
        <rFont val="Arial"/>
        <charset val="134"/>
      </rPr>
      <t>)</t>
    </r>
  </si>
  <si>
    <r>
      <rPr>
        <sz val="10"/>
        <rFont val="宋体"/>
        <charset val="134"/>
      </rPr>
      <t>保税物流仓库</t>
    </r>
    <r>
      <rPr>
        <sz val="10"/>
        <rFont val="Arial"/>
        <charset val="134"/>
      </rPr>
      <t>H01 / H02 / E05,</t>
    </r>
    <r>
      <rPr>
        <sz val="10"/>
        <rFont val="宋体"/>
        <charset val="134"/>
      </rPr>
      <t>、架空平台</t>
    </r>
    <r>
      <rPr>
        <sz val="10"/>
        <rFont val="Arial"/>
        <charset val="134"/>
      </rPr>
      <t>2</t>
    </r>
    <r>
      <rPr>
        <sz val="10"/>
        <rFont val="宋体"/>
        <charset val="134"/>
      </rPr>
      <t>，</t>
    </r>
    <r>
      <rPr>
        <sz val="10"/>
        <rFont val="宋体"/>
        <charset val="134"/>
      </rPr>
      <t>建筑面积总计</t>
    </r>
    <r>
      <rPr>
        <sz val="10"/>
        <rFont val="Arial"/>
        <charset val="134"/>
      </rPr>
      <t>121,805 m2</t>
    </r>
  </si>
  <si>
    <t>2027.5</t>
  </si>
  <si>
    <r>
      <rPr>
        <i/>
        <sz val="10"/>
        <color rgb="FFFF0000"/>
        <rFont val="Arial"/>
        <charset val="134"/>
      </rPr>
      <t xml:space="preserve">H01 </t>
    </r>
    <r>
      <rPr>
        <i/>
        <sz val="10"/>
        <color rgb="FFFF0000"/>
        <rFont val="宋体"/>
        <charset val="134"/>
      </rPr>
      <t>物流仓库</t>
    </r>
  </si>
  <si>
    <r>
      <rPr>
        <i/>
        <sz val="10"/>
        <color rgb="FFFF0000"/>
        <rFont val="Arial"/>
        <charset val="134"/>
      </rPr>
      <t xml:space="preserve">H02 </t>
    </r>
    <r>
      <rPr>
        <i/>
        <sz val="10"/>
        <color rgb="FFFF0000"/>
        <rFont val="宋体"/>
        <charset val="134"/>
      </rPr>
      <t>物流仓库</t>
    </r>
  </si>
  <si>
    <r>
      <rPr>
        <i/>
        <sz val="10"/>
        <color rgb="FFFF0000"/>
        <rFont val="Arial"/>
        <charset val="134"/>
      </rPr>
      <t xml:space="preserve">E05 </t>
    </r>
    <r>
      <rPr>
        <i/>
        <sz val="10"/>
        <color rgb="FFFF0000"/>
        <rFont val="宋体"/>
        <charset val="134"/>
      </rPr>
      <t>物流仓库</t>
    </r>
  </si>
  <si>
    <r>
      <rPr>
        <sz val="10"/>
        <rFont val="宋体"/>
        <charset val="134"/>
      </rPr>
      <t xml:space="preserve">保税物流仓库 </t>
    </r>
    <r>
      <rPr>
        <sz val="10"/>
        <rFont val="Arial"/>
        <charset val="134"/>
      </rPr>
      <t>(</t>
    </r>
    <r>
      <rPr>
        <sz val="10"/>
        <rFont val="宋体"/>
        <charset val="134"/>
      </rPr>
      <t>四</t>
    </r>
    <r>
      <rPr>
        <sz val="10"/>
        <rFont val="Arial"/>
        <charset val="134"/>
      </rPr>
      <t>)</t>
    </r>
  </si>
  <si>
    <r>
      <rPr>
        <sz val="10"/>
        <rFont val="宋体"/>
        <charset val="134"/>
      </rPr>
      <t>保税物流仓库</t>
    </r>
    <r>
      <rPr>
        <sz val="10"/>
        <rFont val="Arial"/>
        <charset val="134"/>
      </rPr>
      <t>H03 / H04 / L01</t>
    </r>
    <r>
      <rPr>
        <sz val="10"/>
        <rFont val="宋体"/>
        <charset val="134"/>
      </rPr>
      <t>，建筑面积总计</t>
    </r>
    <r>
      <rPr>
        <sz val="10"/>
        <rFont val="Arial"/>
        <charset val="134"/>
      </rPr>
      <t>100,098 m2</t>
    </r>
  </si>
  <si>
    <r>
      <rPr>
        <i/>
        <sz val="10"/>
        <color rgb="FFFF0000"/>
        <rFont val="Arial"/>
        <charset val="134"/>
      </rPr>
      <t xml:space="preserve">H03 </t>
    </r>
    <r>
      <rPr>
        <i/>
        <sz val="10"/>
        <color rgb="FFFF0000"/>
        <rFont val="宋体"/>
        <charset val="134"/>
      </rPr>
      <t>物流仓库</t>
    </r>
  </si>
  <si>
    <r>
      <rPr>
        <i/>
        <sz val="10"/>
        <color rgb="FFFF0000"/>
        <rFont val="Arial"/>
        <charset val="134"/>
      </rPr>
      <t xml:space="preserve">H04 </t>
    </r>
    <r>
      <rPr>
        <i/>
        <sz val="10"/>
        <color rgb="FFFF0000"/>
        <rFont val="宋体"/>
        <charset val="134"/>
      </rPr>
      <t>物流仓库</t>
    </r>
  </si>
  <si>
    <r>
      <rPr>
        <i/>
        <sz val="10"/>
        <color rgb="FFFF0000"/>
        <rFont val="Arial"/>
        <charset val="134"/>
      </rPr>
      <t xml:space="preserve">L01 </t>
    </r>
    <r>
      <rPr>
        <i/>
        <sz val="10"/>
        <color rgb="FFFF0000"/>
        <rFont val="宋体"/>
        <charset val="134"/>
      </rPr>
      <t>物流仓库</t>
    </r>
  </si>
  <si>
    <r>
      <rPr>
        <sz val="10"/>
        <rFont val="宋体"/>
        <charset val="134"/>
      </rPr>
      <t>保税加工仓库</t>
    </r>
    <r>
      <rPr>
        <sz val="10"/>
        <rFont val="Arial"/>
        <charset val="134"/>
      </rPr>
      <t>E01 / E02 / E03 / E04</t>
    </r>
    <r>
      <rPr>
        <sz val="10"/>
        <rFont val="宋体"/>
        <charset val="134"/>
      </rPr>
      <t>，建筑面积总计</t>
    </r>
    <r>
      <rPr>
        <sz val="10"/>
        <rFont val="Arial"/>
        <charset val="134"/>
      </rPr>
      <t>57,184 m2</t>
    </r>
  </si>
  <si>
    <r>
      <rPr>
        <i/>
        <sz val="10"/>
        <color rgb="FFFF0000"/>
        <rFont val="Arial"/>
        <charset val="134"/>
      </rPr>
      <t xml:space="preserve">E01 </t>
    </r>
    <r>
      <rPr>
        <i/>
        <sz val="10"/>
        <color rgb="FFFF0000"/>
        <rFont val="宋体"/>
        <charset val="134"/>
      </rPr>
      <t>物流仓库</t>
    </r>
  </si>
  <si>
    <r>
      <rPr>
        <i/>
        <sz val="10"/>
        <color rgb="FFFF0000"/>
        <rFont val="Arial"/>
        <charset val="134"/>
      </rPr>
      <t xml:space="preserve">E02 </t>
    </r>
    <r>
      <rPr>
        <i/>
        <sz val="10"/>
        <color rgb="FFFF0000"/>
        <rFont val="宋体"/>
        <charset val="134"/>
      </rPr>
      <t>物流仓库</t>
    </r>
  </si>
  <si>
    <r>
      <rPr>
        <i/>
        <sz val="10"/>
        <color rgb="FFFF0000"/>
        <rFont val="Arial"/>
        <charset val="134"/>
      </rPr>
      <t xml:space="preserve">E03 </t>
    </r>
    <r>
      <rPr>
        <i/>
        <sz val="10"/>
        <color rgb="FFFF0000"/>
        <rFont val="宋体"/>
        <charset val="134"/>
      </rPr>
      <t>物流仓库</t>
    </r>
  </si>
  <si>
    <r>
      <rPr>
        <i/>
        <sz val="10"/>
        <color rgb="FFFF0000"/>
        <rFont val="Arial"/>
        <charset val="134"/>
      </rPr>
      <t xml:space="preserve">E04 </t>
    </r>
    <r>
      <rPr>
        <i/>
        <sz val="10"/>
        <color rgb="FFFF0000"/>
        <rFont val="宋体"/>
        <charset val="134"/>
      </rPr>
      <t>物流仓库</t>
    </r>
  </si>
  <si>
    <r>
      <rPr>
        <sz val="10"/>
        <rFont val="Arial"/>
        <charset val="134"/>
      </rPr>
      <t xml:space="preserve">(1) </t>
    </r>
    <r>
      <rPr>
        <sz val="10"/>
        <rFont val="宋体"/>
        <charset val="134"/>
      </rPr>
      <t>免税服务中心</t>
    </r>
    <r>
      <rPr>
        <sz val="10"/>
        <rFont val="Arial"/>
        <charset val="134"/>
      </rPr>
      <t>S01</t>
    </r>
    <r>
      <rPr>
        <sz val="10"/>
        <rFont val="宋体"/>
        <charset val="134"/>
      </rPr>
      <t>，建筑面积</t>
    </r>
    <r>
      <rPr>
        <sz val="10"/>
        <rFont val="Arial"/>
        <charset val="134"/>
      </rPr>
      <t xml:space="preserve">10,450 m2; (2) </t>
    </r>
    <r>
      <rPr>
        <sz val="10"/>
        <rFont val="宋体"/>
        <charset val="134"/>
      </rPr>
      <t>综合办公楼</t>
    </r>
    <r>
      <rPr>
        <sz val="10"/>
        <rFont val="Arial"/>
        <charset val="134"/>
      </rPr>
      <t>W01</t>
    </r>
    <r>
      <rPr>
        <sz val="10"/>
        <rFont val="宋体"/>
        <charset val="134"/>
      </rPr>
      <t>，建筑面积</t>
    </r>
    <r>
      <rPr>
        <sz val="10"/>
        <rFont val="Arial"/>
        <charset val="134"/>
      </rPr>
      <t>39,432 m2</t>
    </r>
  </si>
  <si>
    <r>
      <rPr>
        <sz val="10"/>
        <rFont val="等线 Light"/>
        <charset val="134"/>
      </rPr>
      <t>土建</t>
    </r>
  </si>
  <si>
    <r>
      <rPr>
        <sz val="10"/>
        <rFont val="等线 Light"/>
        <charset val="134"/>
      </rPr>
      <t>是</t>
    </r>
  </si>
  <si>
    <r>
      <rPr>
        <b/>
        <i/>
        <sz val="10"/>
        <color rgb="FFFF0000"/>
        <rFont val="Arial"/>
        <charset val="134"/>
      </rPr>
      <t xml:space="preserve">S01 </t>
    </r>
    <r>
      <rPr>
        <b/>
        <i/>
        <sz val="10"/>
        <color rgb="FFFF0000"/>
        <rFont val="宋体"/>
        <charset val="134"/>
      </rPr>
      <t>免税服务中心</t>
    </r>
  </si>
  <si>
    <r>
      <rPr>
        <i/>
        <sz val="10"/>
        <color rgb="FFFF0000"/>
        <rFont val="宋体"/>
        <charset val="134"/>
      </rPr>
      <t>其他可再生能源措施</t>
    </r>
  </si>
  <si>
    <r>
      <rPr>
        <i/>
        <sz val="10"/>
        <color rgb="FFFF0000"/>
        <rFont val="宋体"/>
        <charset val="134"/>
      </rPr>
      <t>绿建三星增量措施</t>
    </r>
  </si>
  <si>
    <r>
      <rPr>
        <b/>
        <i/>
        <sz val="10"/>
        <color rgb="FFFF0000"/>
        <rFont val="Arial"/>
        <charset val="134"/>
      </rPr>
      <t xml:space="preserve">W01 </t>
    </r>
    <r>
      <rPr>
        <b/>
        <i/>
        <sz val="10"/>
        <color rgb="FFFF0000"/>
        <rFont val="宋体"/>
        <charset val="134"/>
      </rPr>
      <t>综合办公楼</t>
    </r>
  </si>
  <si>
    <t>园区道路</t>
  </si>
  <si>
    <t>是</t>
  </si>
  <si>
    <t>2024.9</t>
  </si>
  <si>
    <t>2024.10</t>
  </si>
  <si>
    <t>2024.11</t>
  </si>
  <si>
    <t>2025.11</t>
  </si>
  <si>
    <r>
      <rPr>
        <sz val="10"/>
        <color theme="1"/>
        <rFont val="宋体"/>
        <charset val="134"/>
      </rPr>
      <t>土建</t>
    </r>
    <r>
      <rPr>
        <sz val="10"/>
        <color theme="1"/>
        <rFont val="等线 Light"/>
        <charset val="134"/>
      </rPr>
      <t>类别第一个</t>
    </r>
  </si>
  <si>
    <r>
      <rPr>
        <i/>
        <sz val="10"/>
        <color rgb="FFFF0000"/>
        <rFont val="Arial"/>
        <charset val="134"/>
      </rPr>
      <t>1#</t>
    </r>
    <r>
      <rPr>
        <i/>
        <sz val="10"/>
        <color rgb="FFFF0000"/>
        <rFont val="宋体"/>
        <charset val="134"/>
      </rPr>
      <t>高架联络道</t>
    </r>
  </si>
  <si>
    <r>
      <rPr>
        <i/>
        <sz val="10"/>
        <color rgb="FFFF0000"/>
        <rFont val="宋体"/>
        <charset val="134"/>
      </rPr>
      <t>路基</t>
    </r>
  </si>
  <si>
    <r>
      <rPr>
        <i/>
        <sz val="10"/>
        <color rgb="FFFF0000"/>
        <rFont val="宋体"/>
        <charset val="134"/>
      </rPr>
      <t>钢箱梁</t>
    </r>
  </si>
  <si>
    <r>
      <rPr>
        <i/>
        <sz val="10"/>
        <color rgb="FFFF0000"/>
        <rFont val="宋体"/>
        <charset val="134"/>
      </rPr>
      <t>装饰棚</t>
    </r>
  </si>
  <si>
    <r>
      <rPr>
        <i/>
        <sz val="10"/>
        <color rgb="FFFF0000"/>
        <rFont val="Arial"/>
        <charset val="134"/>
      </rPr>
      <t>2#</t>
    </r>
    <r>
      <rPr>
        <i/>
        <sz val="10"/>
        <color rgb="FFFF0000"/>
        <rFont val="宋体"/>
        <charset val="134"/>
      </rPr>
      <t>高架联络道</t>
    </r>
  </si>
  <si>
    <r>
      <rPr>
        <i/>
        <sz val="10"/>
        <color rgb="FFFF0000"/>
        <rFont val="宋体"/>
        <charset val="134"/>
      </rPr>
      <t>规划二路</t>
    </r>
  </si>
  <si>
    <r>
      <rPr>
        <i/>
        <sz val="10"/>
        <color rgb="FFFF0000"/>
        <rFont val="宋体"/>
        <charset val="134"/>
      </rPr>
      <t>规划三路</t>
    </r>
  </si>
  <si>
    <r>
      <rPr>
        <i/>
        <sz val="10"/>
        <color rgb="FFFF0000"/>
        <rFont val="宋体"/>
        <charset val="134"/>
      </rPr>
      <t>规划四路</t>
    </r>
  </si>
  <si>
    <r>
      <rPr>
        <i/>
        <sz val="10"/>
        <color rgb="FFFF0000"/>
        <rFont val="宋体"/>
        <charset val="134"/>
      </rPr>
      <t>规划五路</t>
    </r>
  </si>
  <si>
    <r>
      <rPr>
        <i/>
        <sz val="10"/>
        <color rgb="FFFF0000"/>
        <rFont val="宋体"/>
        <charset val="134"/>
      </rPr>
      <t>海关查验中心</t>
    </r>
  </si>
  <si>
    <r>
      <rPr>
        <i/>
        <sz val="10"/>
        <color rgb="FFFF0000"/>
        <rFont val="宋体"/>
        <charset val="134"/>
      </rPr>
      <t>保税仓库</t>
    </r>
    <r>
      <rPr>
        <i/>
        <sz val="10"/>
        <color rgb="FFFF0000"/>
        <rFont val="Arial"/>
        <charset val="134"/>
      </rPr>
      <t>1</t>
    </r>
  </si>
  <si>
    <r>
      <rPr>
        <i/>
        <sz val="10"/>
        <color rgb="FFFF0000"/>
        <rFont val="宋体"/>
        <charset val="134"/>
      </rPr>
      <t>保税仓库</t>
    </r>
    <r>
      <rPr>
        <i/>
        <sz val="10"/>
        <color rgb="FFFF0000"/>
        <rFont val="Arial"/>
        <charset val="134"/>
      </rPr>
      <t>2</t>
    </r>
  </si>
  <si>
    <r>
      <rPr>
        <i/>
        <sz val="10"/>
        <color rgb="FFFF0000"/>
        <rFont val="宋体"/>
        <charset val="134"/>
      </rPr>
      <t>保税仓库</t>
    </r>
    <r>
      <rPr>
        <i/>
        <sz val="10"/>
        <color rgb="FFFF0000"/>
        <rFont val="Arial"/>
        <charset val="134"/>
      </rPr>
      <t>3</t>
    </r>
  </si>
  <si>
    <r>
      <rPr>
        <i/>
        <sz val="10"/>
        <color rgb="FFFF0000"/>
        <rFont val="宋体"/>
        <charset val="134"/>
      </rPr>
      <t>国际快件中心</t>
    </r>
  </si>
  <si>
    <r>
      <rPr>
        <i/>
        <sz val="10"/>
        <color rgb="FFFF0000"/>
        <rFont val="宋体"/>
        <charset val="134"/>
      </rPr>
      <t>快件中心</t>
    </r>
  </si>
  <si>
    <r>
      <rPr>
        <sz val="10"/>
        <rFont val="宋体"/>
        <charset val="134"/>
      </rPr>
      <t>屋顶光伏</t>
    </r>
    <r>
      <rPr>
        <sz val="10"/>
        <rFont val="Arial"/>
        <charset val="134"/>
      </rPr>
      <t>(</t>
    </r>
    <r>
      <rPr>
        <sz val="10"/>
        <rFont val="宋体"/>
        <charset val="134"/>
      </rPr>
      <t>二</t>
    </r>
    <r>
      <rPr>
        <sz val="10"/>
        <rFont val="Arial"/>
        <charset val="134"/>
      </rPr>
      <t>)</t>
    </r>
  </si>
  <si>
    <r>
      <rPr>
        <sz val="10"/>
        <rFont val="宋体"/>
        <charset val="134"/>
      </rPr>
      <t>亚投行资金建设北区所有建筑，包括免税服务中心</t>
    </r>
    <r>
      <rPr>
        <sz val="10"/>
        <rFont val="Arial"/>
        <charset val="134"/>
      </rPr>
      <t>S01</t>
    </r>
    <r>
      <rPr>
        <sz val="10"/>
        <rFont val="宋体"/>
        <charset val="134"/>
      </rPr>
      <t>、综合业务楼</t>
    </r>
    <r>
      <rPr>
        <sz val="10"/>
        <rFont val="Arial"/>
        <charset val="134"/>
      </rPr>
      <t>W01</t>
    </r>
    <r>
      <rPr>
        <sz val="10"/>
        <rFont val="宋体"/>
        <charset val="134"/>
      </rPr>
      <t>，海关查验仓库</t>
    </r>
    <r>
      <rPr>
        <sz val="10"/>
        <rFont val="Arial"/>
        <charset val="134"/>
      </rPr>
      <t>T01</t>
    </r>
    <r>
      <rPr>
        <sz val="10"/>
        <rFont val="宋体"/>
        <charset val="134"/>
      </rPr>
      <t>、保税物流仓库</t>
    </r>
    <r>
      <rPr>
        <sz val="10"/>
        <rFont val="Arial"/>
        <charset val="134"/>
      </rPr>
      <t>E01~E04 / H01~H04 / J01 / K01 / L01 / M01</t>
    </r>
    <r>
      <rPr>
        <sz val="10"/>
        <rFont val="宋体"/>
        <charset val="134"/>
      </rPr>
      <t>，总计</t>
    </r>
    <r>
      <rPr>
        <sz val="10"/>
        <rFont val="Arial"/>
        <charset val="134"/>
      </rPr>
      <t>196,714 m2</t>
    </r>
  </si>
  <si>
    <r>
      <rPr>
        <i/>
        <sz val="10"/>
        <color rgb="FFFF0000"/>
        <rFont val="宋体"/>
        <charset val="134"/>
      </rPr>
      <t>光伏</t>
    </r>
  </si>
  <si>
    <r>
      <rPr>
        <b/>
        <i/>
        <sz val="10"/>
        <color rgb="FFFF0000"/>
        <rFont val="宋体"/>
        <charset val="134"/>
      </rPr>
      <t>亚投行资金建设北区</t>
    </r>
  </si>
  <si>
    <r>
      <rPr>
        <i/>
        <sz val="10"/>
        <color rgb="FFFF0000"/>
        <rFont val="宋体"/>
        <charset val="134"/>
      </rPr>
      <t>免税服务中心</t>
    </r>
    <r>
      <rPr>
        <i/>
        <sz val="10"/>
        <color rgb="FFFF0000"/>
        <rFont val="Arial"/>
        <charset val="134"/>
      </rPr>
      <t>S01</t>
    </r>
  </si>
  <si>
    <r>
      <rPr>
        <i/>
        <sz val="10"/>
        <color rgb="FFFF0000"/>
        <rFont val="宋体"/>
        <charset val="134"/>
      </rPr>
      <t>综合业务楼</t>
    </r>
    <r>
      <rPr>
        <i/>
        <sz val="10"/>
        <color rgb="FFFF0000"/>
        <rFont val="Arial"/>
        <charset val="134"/>
      </rPr>
      <t>W01</t>
    </r>
  </si>
  <si>
    <r>
      <rPr>
        <i/>
        <sz val="10"/>
        <color rgb="FFFF0000"/>
        <rFont val="Arial"/>
        <charset val="134"/>
      </rPr>
      <t>T001(</t>
    </r>
    <r>
      <rPr>
        <i/>
        <sz val="10"/>
        <color rgb="FFFF0000"/>
        <rFont val="宋体"/>
        <charset val="134"/>
      </rPr>
      <t>海关查验仓库</t>
    </r>
    <r>
      <rPr>
        <i/>
        <sz val="10"/>
        <color rgb="FFFF0000"/>
        <rFont val="Arial"/>
        <charset val="134"/>
      </rPr>
      <t>)</t>
    </r>
  </si>
  <si>
    <r>
      <rPr>
        <b/>
        <i/>
        <sz val="10"/>
        <color rgb="FFFF0000"/>
        <rFont val="宋体"/>
        <charset val="134"/>
      </rPr>
      <t>自建南区</t>
    </r>
  </si>
  <si>
    <r>
      <rPr>
        <i/>
        <sz val="10"/>
        <color rgb="FFFF0000"/>
        <rFont val="Arial"/>
        <charset val="134"/>
      </rPr>
      <t>P001(</t>
    </r>
    <r>
      <rPr>
        <i/>
        <sz val="10"/>
        <color rgb="FFFF0000"/>
        <rFont val="宋体"/>
        <charset val="134"/>
      </rPr>
      <t>自建南区</t>
    </r>
    <r>
      <rPr>
        <i/>
        <sz val="10"/>
        <color rgb="FFFF0000"/>
        <rFont val="Arial"/>
        <charset val="134"/>
      </rPr>
      <t>)</t>
    </r>
  </si>
  <si>
    <r>
      <rPr>
        <i/>
        <sz val="10"/>
        <color rgb="FFFF0000"/>
        <rFont val="Arial"/>
        <charset val="134"/>
      </rPr>
      <t>Q001(</t>
    </r>
    <r>
      <rPr>
        <i/>
        <sz val="10"/>
        <color rgb="FFFF0000"/>
        <rFont val="宋体"/>
        <charset val="134"/>
      </rPr>
      <t>自建南区</t>
    </r>
    <r>
      <rPr>
        <i/>
        <sz val="10"/>
        <color rgb="FFFF0000"/>
        <rFont val="Arial"/>
        <charset val="134"/>
      </rPr>
      <t>)</t>
    </r>
  </si>
  <si>
    <r>
      <rPr>
        <i/>
        <sz val="10"/>
        <color rgb="FFFF0000"/>
        <rFont val="Arial"/>
        <charset val="134"/>
      </rPr>
      <t>Q002(</t>
    </r>
    <r>
      <rPr>
        <i/>
        <sz val="10"/>
        <color rgb="FFFF0000"/>
        <rFont val="宋体"/>
        <charset val="134"/>
      </rPr>
      <t>自建南区</t>
    </r>
    <r>
      <rPr>
        <i/>
        <sz val="10"/>
        <color rgb="FFFF0000"/>
        <rFont val="Arial"/>
        <charset val="134"/>
      </rPr>
      <t>)</t>
    </r>
  </si>
  <si>
    <r>
      <rPr>
        <i/>
        <sz val="10"/>
        <color rgb="FFFF0000"/>
        <rFont val="Arial"/>
        <charset val="134"/>
      </rPr>
      <t>R001(</t>
    </r>
    <r>
      <rPr>
        <i/>
        <sz val="10"/>
        <color rgb="FFFF0000"/>
        <rFont val="宋体"/>
        <charset val="134"/>
      </rPr>
      <t>自建南区</t>
    </r>
    <r>
      <rPr>
        <i/>
        <sz val="10"/>
        <color rgb="FFFF0000"/>
        <rFont val="Arial"/>
        <charset val="134"/>
      </rPr>
      <t>)</t>
    </r>
  </si>
  <si>
    <r>
      <rPr>
        <i/>
        <sz val="10"/>
        <color rgb="FFFF0000"/>
        <rFont val="Arial"/>
        <charset val="134"/>
      </rPr>
      <t>R002(</t>
    </r>
    <r>
      <rPr>
        <i/>
        <sz val="10"/>
        <color rgb="FFFF0000"/>
        <rFont val="宋体"/>
        <charset val="134"/>
      </rPr>
      <t>自建南区</t>
    </r>
    <r>
      <rPr>
        <i/>
        <sz val="10"/>
        <color rgb="FFFF0000"/>
        <rFont val="Arial"/>
        <charset val="134"/>
      </rPr>
      <t>)</t>
    </r>
  </si>
  <si>
    <r>
      <rPr>
        <b/>
        <i/>
        <sz val="10"/>
        <color rgb="FFFF0000"/>
        <rFont val="宋体"/>
        <charset val="134"/>
      </rPr>
      <t>先行启动区</t>
    </r>
  </si>
  <si>
    <r>
      <rPr>
        <i/>
        <sz val="10"/>
        <color rgb="FFFF0000"/>
        <rFont val="宋体"/>
        <charset val="134"/>
      </rPr>
      <t>海关查验中心</t>
    </r>
    <r>
      <rPr>
        <i/>
        <sz val="10"/>
        <color rgb="FFFF0000"/>
        <rFont val="Arial"/>
        <charset val="134"/>
      </rPr>
      <t>(</t>
    </r>
    <r>
      <rPr>
        <i/>
        <sz val="10"/>
        <color rgb="FFFF0000"/>
        <rFont val="宋体"/>
        <charset val="134"/>
      </rPr>
      <t>先行启动区</t>
    </r>
    <r>
      <rPr>
        <i/>
        <sz val="10"/>
        <color rgb="FFFF0000"/>
        <rFont val="Arial"/>
        <charset val="134"/>
      </rPr>
      <t>)</t>
    </r>
  </si>
  <si>
    <t>商贸物流中心(一期先行启动区)地热泵工程</t>
  </si>
  <si>
    <r>
      <rPr>
        <sz val="10"/>
        <rFont val="宋体"/>
        <charset val="134"/>
      </rPr>
      <t>园区智慧运营系统设备与软件</t>
    </r>
  </si>
  <si>
    <r>
      <rPr>
        <i/>
        <sz val="10"/>
        <color rgb="FFFF0000"/>
        <rFont val="宋体"/>
        <charset val="134"/>
      </rPr>
      <t>智慧运营平台</t>
    </r>
  </si>
  <si>
    <t>智慧海关辅助监管平台、应用支撑平台、企业通关服务平台、多式联运平台、园区车辆行人管控设备、园区视频设备、园区办公信息化设备、园区安全 / 能效 /消防设备、数字化月台、数字化仓库、一站式安检区、检疫处理区</t>
  </si>
  <si>
    <r>
      <rPr>
        <sz val="10"/>
        <rFont val="宋体"/>
        <charset val="134"/>
      </rPr>
      <t>项目管理</t>
    </r>
  </si>
  <si>
    <r>
      <rPr>
        <sz val="10"/>
        <color theme="1"/>
        <rFont val="宋体"/>
        <charset val="134"/>
      </rPr>
      <t>是</t>
    </r>
  </si>
  <si>
    <r>
      <rPr>
        <sz val="10"/>
        <rFont val="宋体"/>
        <charset val="134"/>
      </rPr>
      <t>项目监测评价</t>
    </r>
  </si>
  <si>
    <r>
      <rPr>
        <sz val="10"/>
        <rFont val="宋体"/>
        <charset val="134"/>
      </rPr>
      <t>外部环境监测、外部移民监测、外部社会和性别监测、项目绩效评估等</t>
    </r>
  </si>
  <si>
    <r>
      <rPr>
        <sz val="10"/>
        <rFont val="Arial"/>
        <charset val="134"/>
      </rPr>
      <t>LEED</t>
    </r>
    <r>
      <rPr>
        <sz val="10"/>
        <rFont val="宋体"/>
        <charset val="134"/>
      </rPr>
      <t>认证咨询</t>
    </r>
  </si>
  <si>
    <r>
      <rPr>
        <sz val="10"/>
        <rFont val="宋体"/>
        <charset val="134"/>
      </rPr>
      <t>园区建筑</t>
    </r>
    <r>
      <rPr>
        <sz val="10"/>
        <rFont val="Arial"/>
        <charset val="134"/>
      </rPr>
      <t>LEED</t>
    </r>
    <r>
      <rPr>
        <sz val="10"/>
        <rFont val="宋体"/>
        <charset val="134"/>
      </rPr>
      <t>认证咨询服务</t>
    </r>
  </si>
  <si>
    <r>
      <rPr>
        <sz val="10"/>
        <rFont val="宋体"/>
        <charset val="134"/>
      </rPr>
      <t>绿建三星认证咨询</t>
    </r>
  </si>
  <si>
    <t>其它能力建设服务</t>
  </si>
  <si>
    <r>
      <rPr>
        <sz val="10"/>
        <rFont val="宋体"/>
        <charset val="134"/>
      </rPr>
      <t>其它能力建设服务</t>
    </r>
  </si>
  <si>
    <t>提前采购</t>
  </si>
  <si>
    <t>CW-09</t>
  </si>
  <si>
    <t>CW-10</t>
  </si>
  <si>
    <t>GD-01</t>
  </si>
  <si>
    <t>CS-01</t>
  </si>
  <si>
    <t>CS-02</t>
  </si>
  <si>
    <r>
      <rPr>
        <b/>
        <sz val="14"/>
        <color theme="1"/>
        <rFont val="Arial"/>
        <charset val="134"/>
      </rPr>
      <t>Attachment 1-China: Hubei Global Air Cargo Logistics Hub Project----Procurement Plan</t>
    </r>
    <r>
      <rPr>
        <b/>
        <sz val="14"/>
        <color theme="1"/>
        <rFont val="Arial"/>
        <charset val="134"/>
      </rPr>
      <t xml:space="preserve"> (April 2024)</t>
    </r>
  </si>
  <si>
    <t>Advance Contracting</t>
  </si>
  <si>
    <t>Roads</t>
  </si>
  <si>
    <t>Yes</t>
  </si>
  <si>
    <t>Geothermal Energy for Business Logistics Center</t>
  </si>
  <si>
    <t>Geothermal Energy for Business Logistics Center (Phase I)</t>
  </si>
  <si>
    <t>Hardware and Software for Smart Operations System</t>
  </si>
  <si>
    <t>Smart Customs Auxiliary Supervision Platform, Application Suppory Platform, Enterprise Customs Clearance Service Platform, Multi-Modal Transport Platform, Vehicle-Pedestrian Supervision and Control Equipment, Video Surveillance Equipment, Office Information Equipment, Safety / Energy Efficiency Monitoring / Firefighting Euipment, Digital Platform, Digital Warehouse, One-Stop Safety Inspection Area, Quanrantine Processing Area</t>
  </si>
  <si>
    <r>
      <rPr>
        <sz val="10"/>
        <rFont val="Arial"/>
        <charset val="134"/>
      </rPr>
      <t xml:space="preserve">LEED </t>
    </r>
    <r>
      <rPr>
        <sz val="10"/>
        <rFont val="Arial"/>
        <charset val="134"/>
      </rPr>
      <t>Certification</t>
    </r>
  </si>
  <si>
    <t>LEED certification consulting services</t>
  </si>
  <si>
    <t>Green Building Certification</t>
  </si>
  <si>
    <t>Green building certifcation consulting services</t>
  </si>
  <si>
    <t>Other Consulting Services</t>
  </si>
  <si>
    <t>Other capacity building consulting services</t>
  </si>
  <si>
    <r>
      <rPr>
        <b/>
        <sz val="10"/>
        <color theme="1"/>
        <rFont val="宋体"/>
        <charset val="134"/>
      </rPr>
      <t>提前采购</t>
    </r>
  </si>
  <si>
    <r>
      <rPr>
        <b/>
        <sz val="10"/>
        <rFont val="宋体"/>
        <charset val="134"/>
      </rPr>
      <t>湖北国际航空货运物流园项目采购时间表</t>
    </r>
    <r>
      <rPr>
        <b/>
        <sz val="10"/>
        <rFont val="Calibri"/>
        <charset val="134"/>
      </rPr>
      <t xml:space="preserve"> (2024</t>
    </r>
    <r>
      <rPr>
        <b/>
        <sz val="10"/>
        <rFont val="宋体"/>
        <charset val="134"/>
      </rPr>
      <t>年</t>
    </r>
    <r>
      <rPr>
        <b/>
        <sz val="10"/>
        <rFont val="Calibri"/>
        <charset val="134"/>
      </rPr>
      <t>12</t>
    </r>
    <r>
      <rPr>
        <b/>
        <sz val="10"/>
        <rFont val="宋体"/>
        <charset val="134"/>
      </rPr>
      <t>月更新</t>
    </r>
    <r>
      <rPr>
        <b/>
        <sz val="10"/>
        <rFont val="Calibri"/>
        <charset val="134"/>
      </rPr>
      <t>)</t>
    </r>
  </si>
  <si>
    <t>序号</t>
  </si>
  <si>
    <r>
      <rPr>
        <b/>
        <sz val="9"/>
        <rFont val="宋体"/>
        <charset val="134"/>
      </rPr>
      <t>合同号</t>
    </r>
  </si>
  <si>
    <r>
      <rPr>
        <b/>
        <sz val="9"/>
        <rFont val="宋体"/>
        <charset val="134"/>
      </rPr>
      <t>采购内容</t>
    </r>
  </si>
  <si>
    <r>
      <rPr>
        <b/>
        <sz val="9"/>
        <rFont val="宋体"/>
        <charset val="134"/>
      </rPr>
      <t>项目实施单位</t>
    </r>
  </si>
  <si>
    <r>
      <rPr>
        <b/>
        <sz val="9"/>
        <rFont val="宋体"/>
        <charset val="134"/>
      </rPr>
      <t>成本估算</t>
    </r>
  </si>
  <si>
    <t>亚投行
贷款</t>
  </si>
  <si>
    <t>采购
类别</t>
  </si>
  <si>
    <t>采购
方式</t>
  </si>
  <si>
    <r>
      <rPr>
        <b/>
        <sz val="9"/>
        <rFont val="宋体"/>
        <charset val="134"/>
      </rPr>
      <t>公告日期</t>
    </r>
  </si>
  <si>
    <t>合同
签订日期</t>
  </si>
  <si>
    <t>合同
月数</t>
  </si>
  <si>
    <r>
      <rPr>
        <b/>
        <sz val="9"/>
        <rFont val="宋体"/>
        <charset val="134"/>
      </rPr>
      <t>合同
期</t>
    </r>
    <r>
      <rPr>
        <b/>
        <sz val="9"/>
        <rFont val="Arial"/>
        <charset val="134"/>
      </rPr>
      <t>(</t>
    </r>
    <r>
      <rPr>
        <b/>
        <sz val="9"/>
        <rFont val="宋体"/>
        <charset val="134"/>
      </rPr>
      <t>月</t>
    </r>
    <r>
      <rPr>
        <b/>
        <sz val="9"/>
        <rFont val="Arial"/>
        <charset val="134"/>
      </rPr>
      <t>)</t>
    </r>
  </si>
  <si>
    <r>
      <rPr>
        <b/>
        <sz val="9"/>
        <rFont val="宋体"/>
        <charset val="134"/>
      </rPr>
      <t>人民币</t>
    </r>
    <r>
      <rPr>
        <b/>
        <sz val="9"/>
        <rFont val="Arial"/>
        <charset val="134"/>
      </rPr>
      <t>(</t>
    </r>
    <r>
      <rPr>
        <b/>
        <sz val="9"/>
        <rFont val="宋体"/>
        <charset val="134"/>
      </rPr>
      <t>万元</t>
    </r>
    <r>
      <rPr>
        <b/>
        <sz val="9"/>
        <rFont val="Arial"/>
        <charset val="134"/>
      </rPr>
      <t>)</t>
    </r>
  </si>
  <si>
    <r>
      <rPr>
        <b/>
        <sz val="9"/>
        <rFont val="宋体"/>
        <charset val="134"/>
      </rPr>
      <t>美元</t>
    </r>
    <r>
      <rPr>
        <b/>
        <sz val="9"/>
        <rFont val="Arial"/>
        <charset val="134"/>
      </rPr>
      <t>(</t>
    </r>
    <r>
      <rPr>
        <b/>
        <sz val="9"/>
        <rFont val="宋体"/>
        <charset val="134"/>
      </rPr>
      <t>万元</t>
    </r>
    <r>
      <rPr>
        <b/>
        <sz val="9"/>
        <rFont val="Arial"/>
        <charset val="134"/>
      </rPr>
      <t>)</t>
    </r>
  </si>
  <si>
    <t>占比</t>
  </si>
  <si>
    <t>国内配套</t>
  </si>
  <si>
    <t>Q3</t>
  </si>
  <si>
    <t>Q4</t>
  </si>
  <si>
    <t>Q1</t>
  </si>
  <si>
    <t>Q2</t>
  </si>
  <si>
    <r>
      <rPr>
        <b/>
        <sz val="9"/>
        <rFont val="宋体"/>
        <charset val="134"/>
      </rPr>
      <t>组成部分</t>
    </r>
    <r>
      <rPr>
        <b/>
        <sz val="9"/>
        <rFont val="Arial"/>
        <charset val="134"/>
      </rPr>
      <t>1:</t>
    </r>
  </si>
  <si>
    <r>
      <rPr>
        <sz val="9"/>
        <rFont val="宋体"/>
        <charset val="134"/>
      </rPr>
      <t>海关运营设施</t>
    </r>
  </si>
  <si>
    <r>
      <rPr>
        <sz val="9"/>
        <rFont val="宋体"/>
        <charset val="134"/>
      </rPr>
      <t>鄂州临空集团</t>
    </r>
  </si>
  <si>
    <t>2025Q1</t>
  </si>
  <si>
    <t>开工</t>
  </si>
  <si>
    <r>
      <rPr>
        <b/>
        <sz val="9"/>
        <color theme="0"/>
        <rFont val="宋体"/>
        <charset val="134"/>
      </rPr>
      <t>完工</t>
    </r>
  </si>
  <si>
    <t>保税物流仓库(一)</t>
  </si>
  <si>
    <t>2025Q2</t>
  </si>
  <si>
    <t>2025Q3</t>
  </si>
  <si>
    <t>保税物流仓库(二)</t>
  </si>
  <si>
    <t>2025Q4</t>
  </si>
  <si>
    <t>保税物流仓库(三)</t>
  </si>
  <si>
    <t>保税物流仓库(四)</t>
  </si>
  <si>
    <t>保税物流与加工仓库</t>
  </si>
  <si>
    <t>合计</t>
  </si>
  <si>
    <t>完工</t>
  </si>
  <si>
    <r>
      <rPr>
        <b/>
        <sz val="9"/>
        <rFont val="宋体"/>
        <charset val="134"/>
      </rPr>
      <t>组成部分</t>
    </r>
    <r>
      <rPr>
        <b/>
        <sz val="9"/>
        <rFont val="Arial"/>
        <charset val="134"/>
      </rPr>
      <t>2</t>
    </r>
  </si>
  <si>
    <t>2026Q3</t>
  </si>
  <si>
    <t>2026Q4</t>
  </si>
  <si>
    <r>
      <rPr>
        <b/>
        <sz val="9"/>
        <rFont val="宋体"/>
        <charset val="134"/>
      </rPr>
      <t>组成部分</t>
    </r>
    <r>
      <rPr>
        <b/>
        <sz val="9"/>
        <rFont val="Arial"/>
        <charset val="134"/>
      </rPr>
      <t>3</t>
    </r>
  </si>
  <si>
    <t>2027Q1</t>
  </si>
  <si>
    <r>
      <rPr>
        <b/>
        <sz val="9"/>
        <color theme="1"/>
        <rFont val="Arial"/>
        <charset val="134"/>
      </rPr>
      <t>(</t>
    </r>
    <r>
      <rPr>
        <b/>
        <sz val="9"/>
        <color theme="1"/>
        <rFont val="等线"/>
        <charset val="134"/>
      </rPr>
      <t>第一个土建合同</t>
    </r>
    <r>
      <rPr>
        <b/>
        <sz val="9"/>
        <color theme="1"/>
        <rFont val="Arial"/>
        <charset val="134"/>
      </rPr>
      <t>)</t>
    </r>
  </si>
  <si>
    <r>
      <rPr>
        <sz val="9"/>
        <rFont val="宋体"/>
        <charset val="134"/>
      </rPr>
      <t>屋顶光伏</t>
    </r>
    <r>
      <rPr>
        <sz val="9"/>
        <rFont val="Arial"/>
        <charset val="134"/>
      </rPr>
      <t>(</t>
    </r>
    <r>
      <rPr>
        <sz val="9"/>
        <rFont val="宋体"/>
        <charset val="134"/>
      </rPr>
      <t>一</t>
    </r>
    <r>
      <rPr>
        <sz val="9"/>
        <rFont val="Arial"/>
        <charset val="134"/>
      </rPr>
      <t>)</t>
    </r>
  </si>
  <si>
    <r>
      <rPr>
        <b/>
        <sz val="9"/>
        <rFont val="等线"/>
        <charset val="134"/>
      </rPr>
      <t>(第一个货物合同</t>
    </r>
    <r>
      <rPr>
        <b/>
        <sz val="9"/>
        <rFont val="Arial"/>
        <charset val="134"/>
      </rPr>
      <t>)</t>
    </r>
  </si>
  <si>
    <r>
      <rPr>
        <sz val="9"/>
        <rFont val="宋体"/>
        <charset val="134"/>
      </rPr>
      <t>屋顶光伏</t>
    </r>
    <r>
      <rPr>
        <sz val="9"/>
        <rFont val="Arial"/>
        <charset val="134"/>
      </rPr>
      <t>(</t>
    </r>
    <r>
      <rPr>
        <sz val="9"/>
        <rFont val="宋体"/>
        <charset val="134"/>
      </rPr>
      <t>二</t>
    </r>
    <r>
      <rPr>
        <sz val="9"/>
        <rFont val="Arial"/>
        <charset val="134"/>
      </rPr>
      <t>)</t>
    </r>
  </si>
  <si>
    <t>2026Q1</t>
  </si>
  <si>
    <t>2026Q2</t>
  </si>
  <si>
    <r>
      <rPr>
        <b/>
        <sz val="9"/>
        <rFont val="宋体"/>
        <charset val="134"/>
      </rPr>
      <t>组成部分</t>
    </r>
    <r>
      <rPr>
        <b/>
        <sz val="9"/>
        <rFont val="Arial"/>
        <charset val="134"/>
      </rPr>
      <t>4:</t>
    </r>
  </si>
  <si>
    <t>HGAC-SS01</t>
  </si>
  <si>
    <t>项目管理</t>
  </si>
  <si>
    <t>HGAC-SS02</t>
  </si>
  <si>
    <t>项目监测评价</t>
  </si>
  <si>
    <t>HGAC-SS03</t>
  </si>
  <si>
    <t>国际绿建认证或国内绿建标准认证</t>
  </si>
  <si>
    <t>HGAC-SS04</t>
  </si>
  <si>
    <t>HGAC-SS05</t>
  </si>
  <si>
    <t>HGAC-SS06</t>
  </si>
  <si>
    <t>HGAC-SS07</t>
  </si>
  <si>
    <t>2024Q1</t>
  </si>
  <si>
    <r>
      <rPr>
        <sz val="10"/>
        <rFont val="等线"/>
        <charset val="134"/>
      </rPr>
      <t>注</t>
    </r>
    <r>
      <rPr>
        <sz val="10"/>
        <rFont val="Arial"/>
        <charset val="134"/>
      </rPr>
      <t xml:space="preserve">: </t>
    </r>
    <r>
      <rPr>
        <sz val="10"/>
        <rFont val="等线"/>
        <charset val="134"/>
      </rPr>
      <t>汇率取自2024/4/12亚投行贷款考察备忘录，</t>
    </r>
    <r>
      <rPr>
        <sz val="10"/>
        <rFont val="Arial"/>
        <charset val="134"/>
      </rPr>
      <t xml:space="preserve"> $1 = </t>
    </r>
    <r>
      <rPr>
        <sz val="10"/>
        <rFont val="宋体"/>
        <charset val="134"/>
      </rPr>
      <t>￥</t>
    </r>
    <r>
      <rPr>
        <sz val="10"/>
        <rFont val="Arial"/>
        <charset val="134"/>
      </rPr>
      <t>7.11</t>
    </r>
    <r>
      <rPr>
        <sz val="10"/>
        <rFont val="等线"/>
        <charset val="134"/>
      </rPr>
      <t>。</t>
    </r>
  </si>
  <si>
    <r>
      <rPr>
        <b/>
        <sz val="10.5"/>
        <color rgb="FF000000"/>
        <rFont val="宋体"/>
        <charset val="134"/>
      </rPr>
      <t>序号</t>
    </r>
    <r>
      <rPr>
        <b/>
        <sz val="10.5"/>
        <color rgb="FF000000"/>
        <rFont val="Times New Roman"/>
        <charset val="134"/>
      </rPr>
      <t xml:space="preserve"> </t>
    </r>
  </si>
  <si>
    <t>工程和费用名称</t>
  </si>
  <si>
    <r>
      <rPr>
        <b/>
        <sz val="10.5"/>
        <color rgb="FF000000"/>
        <rFont val="宋体"/>
        <charset val="134"/>
      </rPr>
      <t>估算价值</t>
    </r>
    <r>
      <rPr>
        <b/>
        <sz val="10.5"/>
        <color rgb="FF000000"/>
        <rFont val="Times New Roman"/>
        <charset val="134"/>
      </rPr>
      <t>(</t>
    </r>
    <r>
      <rPr>
        <b/>
        <sz val="10.5"/>
        <color rgb="FF000000"/>
        <rFont val="宋体"/>
        <charset val="134"/>
      </rPr>
      <t>万元</t>
    </r>
    <r>
      <rPr>
        <b/>
        <sz val="10.5"/>
        <color rgb="FF000000"/>
        <rFont val="Times New Roman"/>
        <charset val="134"/>
      </rPr>
      <t>)</t>
    </r>
  </si>
  <si>
    <t>技术经济指标</t>
  </si>
  <si>
    <r>
      <rPr>
        <b/>
        <sz val="10.5"/>
        <color rgb="FF000000"/>
        <rFont val="宋体"/>
        <charset val="134"/>
      </rPr>
      <t>备</t>
    </r>
    <r>
      <rPr>
        <b/>
        <sz val="10.5"/>
        <color rgb="FF000000"/>
        <rFont val="Times New Roman"/>
        <charset val="134"/>
      </rPr>
      <t xml:space="preserve"> </t>
    </r>
    <r>
      <rPr>
        <b/>
        <sz val="10.5"/>
        <color rgb="FF000000"/>
        <rFont val="宋体"/>
        <charset val="134"/>
      </rPr>
      <t>注</t>
    </r>
  </si>
  <si>
    <t>比例</t>
  </si>
  <si>
    <t>设备及安装工程费</t>
  </si>
  <si>
    <t>其他费用</t>
  </si>
  <si>
    <r>
      <rPr>
        <b/>
        <sz val="10.5"/>
        <color rgb="FF000000"/>
        <rFont val="宋体"/>
        <charset val="134"/>
      </rPr>
      <t>合</t>
    </r>
    <r>
      <rPr>
        <b/>
        <sz val="10.5"/>
        <color rgb="FF000000"/>
        <rFont val="Times New Roman"/>
        <charset val="134"/>
      </rPr>
      <t xml:space="preserve">  </t>
    </r>
    <r>
      <rPr>
        <b/>
        <sz val="10.5"/>
        <color rgb="FF000000"/>
        <rFont val="宋体"/>
        <charset val="134"/>
      </rPr>
      <t>计</t>
    </r>
  </si>
  <si>
    <t>室内面积或数量</t>
  </si>
  <si>
    <t>（万元）</t>
  </si>
  <si>
    <t>一</t>
  </si>
  <si>
    <t>工程费用</t>
  </si>
  <si>
    <r>
      <rPr>
        <b/>
        <sz val="10.5"/>
        <color rgb="FF000000"/>
        <rFont val="宋体"/>
        <charset val="134"/>
      </rPr>
      <t>（</t>
    </r>
    <r>
      <rPr>
        <b/>
        <sz val="10.5"/>
        <color rgb="FF000000"/>
        <rFont val="Times New Roman"/>
        <charset val="134"/>
      </rPr>
      <t>1+2+3</t>
    </r>
    <r>
      <rPr>
        <b/>
        <sz val="10.5"/>
        <color rgb="FF000000"/>
        <rFont val="宋体"/>
        <charset val="134"/>
      </rPr>
      <t>）</t>
    </r>
  </si>
  <si>
    <t>海关业务基础设施</t>
  </si>
  <si>
    <r>
      <rPr>
        <sz val="10.5"/>
        <color rgb="FF000000"/>
        <rFont val="Times New Roman"/>
        <charset val="134"/>
      </rPr>
      <t>2#</t>
    </r>
    <r>
      <rPr>
        <sz val="10.5"/>
        <color rgb="FF000000"/>
        <rFont val="宋体"/>
        <charset val="134"/>
      </rPr>
      <t>国际货站</t>
    </r>
  </si>
  <si>
    <t>㎡</t>
  </si>
  <si>
    <t>场平</t>
  </si>
  <si>
    <t>地基处理</t>
  </si>
  <si>
    <t>基础工程</t>
  </si>
  <si>
    <t>土建工程</t>
  </si>
  <si>
    <t>装饰装修工程</t>
  </si>
  <si>
    <t>给排水工程</t>
  </si>
  <si>
    <t>暖通工程</t>
  </si>
  <si>
    <t>1.2.8</t>
  </si>
  <si>
    <t>电气工程</t>
  </si>
  <si>
    <t>1.2.9</t>
  </si>
  <si>
    <t>电梯工程</t>
  </si>
  <si>
    <t>部</t>
  </si>
  <si>
    <t>1.2.10</t>
  </si>
  <si>
    <t>抗震支架</t>
  </si>
  <si>
    <t>1.2.11</t>
  </si>
  <si>
    <t>标识标牌</t>
  </si>
  <si>
    <t>1.2.12</t>
  </si>
  <si>
    <t>绿化工程</t>
  </si>
  <si>
    <r>
      <rPr>
        <sz val="10.5"/>
        <color rgb="FF000000"/>
        <rFont val="Times New Roman"/>
        <charset val="134"/>
      </rPr>
      <t>3#</t>
    </r>
    <r>
      <rPr>
        <sz val="10.5"/>
        <color rgb="FF000000"/>
        <rFont val="宋体"/>
        <charset val="134"/>
      </rPr>
      <t>国际货站</t>
    </r>
  </si>
  <si>
    <t>1.3.1</t>
  </si>
  <si>
    <t>1.3.2</t>
  </si>
  <si>
    <t>1.3.3</t>
  </si>
  <si>
    <t>1.3.4</t>
  </si>
  <si>
    <t>1.3.5</t>
  </si>
  <si>
    <t>1.3.6</t>
  </si>
  <si>
    <t>1.3.7</t>
  </si>
  <si>
    <t>1.3.8</t>
  </si>
  <si>
    <t>1.3.9</t>
  </si>
  <si>
    <t>1.3.10</t>
  </si>
  <si>
    <t>1.3.11</t>
  </si>
  <si>
    <t>1.3.12</t>
  </si>
  <si>
    <r>
      <rPr>
        <sz val="10.5"/>
        <color rgb="FF000000"/>
        <rFont val="Times New Roman"/>
        <charset val="134"/>
      </rPr>
      <t>4#</t>
    </r>
    <r>
      <rPr>
        <sz val="10.5"/>
        <color rgb="FF000000"/>
        <rFont val="宋体"/>
        <charset val="134"/>
      </rPr>
      <t>国际快件中心</t>
    </r>
  </si>
  <si>
    <t>1.4.1</t>
  </si>
  <si>
    <t>1.4.2</t>
  </si>
  <si>
    <t>1.4.3</t>
  </si>
  <si>
    <t>1.4.4</t>
  </si>
  <si>
    <t>1.4.5</t>
  </si>
  <si>
    <t>1.4.6</t>
  </si>
  <si>
    <t>1.4.7</t>
  </si>
  <si>
    <t>1.4.8</t>
  </si>
  <si>
    <t>1.4.9</t>
  </si>
  <si>
    <t>1.4.10</t>
  </si>
  <si>
    <t>1.4.11</t>
  </si>
  <si>
    <t>1.4.12</t>
  </si>
  <si>
    <r>
      <rPr>
        <sz val="10.5"/>
        <color rgb="FF000000"/>
        <rFont val="Times New Roman"/>
        <charset val="134"/>
      </rPr>
      <t>2#</t>
    </r>
    <r>
      <rPr>
        <sz val="10.5"/>
        <color rgb="FF000000"/>
        <rFont val="宋体"/>
        <charset val="134"/>
      </rPr>
      <t>海关卡口</t>
    </r>
  </si>
  <si>
    <t>1.5.1</t>
  </si>
  <si>
    <t>1.5.2</t>
  </si>
  <si>
    <t>1.5.3</t>
  </si>
  <si>
    <t>1.5.4</t>
  </si>
  <si>
    <t>1.5.5</t>
  </si>
  <si>
    <t>1.5.6</t>
  </si>
  <si>
    <t>1.5.7</t>
  </si>
  <si>
    <t>1.5.8</t>
  </si>
  <si>
    <r>
      <rPr>
        <sz val="10.5"/>
        <color rgb="FF000000"/>
        <rFont val="Times New Roman"/>
        <charset val="134"/>
      </rPr>
      <t>4#</t>
    </r>
    <r>
      <rPr>
        <sz val="10.5"/>
        <color rgb="FF000000"/>
        <rFont val="宋体"/>
        <charset val="134"/>
      </rPr>
      <t>海关卡口</t>
    </r>
  </si>
  <si>
    <t>1.6.1</t>
  </si>
  <si>
    <t>1.6.2</t>
  </si>
  <si>
    <t>1.6.3</t>
  </si>
  <si>
    <t>1.6.4</t>
  </si>
  <si>
    <t>1.6.5</t>
  </si>
  <si>
    <t>1.6.6</t>
  </si>
  <si>
    <t>1.6.7</t>
  </si>
  <si>
    <t>1.6.8</t>
  </si>
  <si>
    <t>海关围网</t>
  </si>
  <si>
    <t>延米</t>
  </si>
  <si>
    <t>保税仓储和加工</t>
  </si>
  <si>
    <r>
      <rPr>
        <sz val="10.5"/>
        <color rgb="FF000000"/>
        <rFont val="Times New Roman"/>
        <charset val="134"/>
      </rPr>
      <t>8#</t>
    </r>
    <r>
      <rPr>
        <sz val="10.5"/>
        <color rgb="FF000000"/>
        <rFont val="宋体"/>
        <charset val="134"/>
      </rPr>
      <t>保税加工中心</t>
    </r>
  </si>
  <si>
    <t>2.1.1</t>
  </si>
  <si>
    <t>2.1.2</t>
  </si>
  <si>
    <t>2.1.3</t>
  </si>
  <si>
    <t>2.1.4</t>
  </si>
  <si>
    <t>2.1.5</t>
  </si>
  <si>
    <t>2.1.6</t>
  </si>
  <si>
    <t>2.1.7</t>
  </si>
  <si>
    <t>2.1.8</t>
  </si>
  <si>
    <t>2.1.9</t>
  </si>
  <si>
    <t>2.1.10</t>
  </si>
  <si>
    <t>2.1.11</t>
  </si>
  <si>
    <t>2.1.12</t>
  </si>
  <si>
    <r>
      <rPr>
        <sz val="10.5"/>
        <color rgb="FF000000"/>
        <rFont val="Times New Roman"/>
        <charset val="134"/>
      </rPr>
      <t>9#</t>
    </r>
    <r>
      <rPr>
        <sz val="10.5"/>
        <color rgb="FF000000"/>
        <rFont val="宋体"/>
        <charset val="134"/>
      </rPr>
      <t>保税加工中心</t>
    </r>
  </si>
  <si>
    <t>2.2.1</t>
  </si>
  <si>
    <t>2.2.2</t>
  </si>
  <si>
    <t>2.2.3</t>
  </si>
  <si>
    <t>2.2.4</t>
  </si>
  <si>
    <t>2.2.5</t>
  </si>
  <si>
    <t>2.2.6</t>
  </si>
  <si>
    <t>2.2.7</t>
  </si>
  <si>
    <t>2.2.8</t>
  </si>
  <si>
    <t>2.2.9</t>
  </si>
  <si>
    <t>2.2.10</t>
  </si>
  <si>
    <t>2.2.11</t>
  </si>
  <si>
    <r>
      <rPr>
        <sz val="10.5"/>
        <color rgb="FF000000"/>
        <rFont val="Times New Roman"/>
        <charset val="134"/>
      </rPr>
      <t>10#</t>
    </r>
    <r>
      <rPr>
        <sz val="10.5"/>
        <color rgb="FF000000"/>
        <rFont val="宋体"/>
        <charset val="134"/>
      </rPr>
      <t>危险品库区</t>
    </r>
  </si>
  <si>
    <t>2.3.1</t>
  </si>
  <si>
    <t>2.3.2</t>
  </si>
  <si>
    <t>2.3.3</t>
  </si>
  <si>
    <t>2.3.4</t>
  </si>
  <si>
    <t>2.3.5</t>
  </si>
  <si>
    <t>2.3.6</t>
  </si>
  <si>
    <t>2.3.7</t>
  </si>
  <si>
    <t>2.3.8</t>
  </si>
  <si>
    <t>2.3.9</t>
  </si>
  <si>
    <t>2.3.10</t>
  </si>
  <si>
    <t>2.3.11</t>
  </si>
  <si>
    <r>
      <rPr>
        <sz val="10.5"/>
        <color rgb="FF000000"/>
        <rFont val="Times New Roman"/>
        <charset val="134"/>
      </rPr>
      <t>11#</t>
    </r>
    <r>
      <rPr>
        <sz val="10.5"/>
        <color rgb="FF000000"/>
        <rFont val="宋体"/>
        <charset val="134"/>
      </rPr>
      <t>保税物流中心</t>
    </r>
  </si>
  <si>
    <t>2.4.9</t>
  </si>
  <si>
    <t>2.4.10</t>
  </si>
  <si>
    <r>
      <rPr>
        <sz val="10.5"/>
        <color rgb="FF000000"/>
        <rFont val="Times New Roman"/>
        <charset val="134"/>
      </rPr>
      <t>12#</t>
    </r>
    <r>
      <rPr>
        <sz val="10.5"/>
        <color rgb="FF000000"/>
        <rFont val="宋体"/>
        <charset val="134"/>
      </rPr>
      <t>保税物流中心</t>
    </r>
  </si>
  <si>
    <t>2.5.9</t>
  </si>
  <si>
    <t>2.5.10</t>
  </si>
  <si>
    <t>2.5.11</t>
  </si>
  <si>
    <r>
      <rPr>
        <sz val="10.5"/>
        <color rgb="FF000000"/>
        <rFont val="Times New Roman"/>
        <charset val="134"/>
      </rPr>
      <t>13#</t>
    </r>
    <r>
      <rPr>
        <sz val="10.5"/>
        <color rgb="FF000000"/>
        <rFont val="宋体"/>
        <charset val="134"/>
      </rPr>
      <t>保税物流中心</t>
    </r>
  </si>
  <si>
    <t>2.6.9</t>
  </si>
  <si>
    <t>2.6.10</t>
  </si>
  <si>
    <t>2.6.11</t>
  </si>
  <si>
    <r>
      <rPr>
        <sz val="10.5"/>
        <color rgb="FF000000"/>
        <rFont val="Times New Roman"/>
        <charset val="134"/>
      </rPr>
      <t>14#</t>
    </r>
    <r>
      <rPr>
        <sz val="10.5"/>
        <color rgb="FF000000"/>
        <rFont val="宋体"/>
        <charset val="134"/>
      </rPr>
      <t>保税物流中心</t>
    </r>
  </si>
  <si>
    <t>2.7.9</t>
  </si>
  <si>
    <t>2.7.10</t>
  </si>
  <si>
    <t>2.7.11</t>
  </si>
  <si>
    <r>
      <rPr>
        <sz val="10.5"/>
        <color rgb="FF000000"/>
        <rFont val="Times New Roman"/>
        <charset val="134"/>
      </rPr>
      <t>15#</t>
    </r>
    <r>
      <rPr>
        <sz val="10.5"/>
        <color rgb="FF000000"/>
        <rFont val="宋体"/>
        <charset val="134"/>
      </rPr>
      <t>保税物流中心</t>
    </r>
  </si>
  <si>
    <t>2.8.9</t>
  </si>
  <si>
    <t>2.8.10</t>
  </si>
  <si>
    <t>2.8.11</t>
  </si>
  <si>
    <r>
      <rPr>
        <sz val="10.5"/>
        <color rgb="FF000000"/>
        <rFont val="Times New Roman"/>
        <charset val="134"/>
      </rPr>
      <t>16#</t>
    </r>
    <r>
      <rPr>
        <sz val="10.5"/>
        <color rgb="FF000000"/>
        <rFont val="宋体"/>
        <charset val="134"/>
      </rPr>
      <t>保税物流中心</t>
    </r>
  </si>
  <si>
    <t>2.9.9</t>
  </si>
  <si>
    <t>2.9.10</t>
  </si>
  <si>
    <t>2.9.11</t>
  </si>
  <si>
    <r>
      <rPr>
        <sz val="10.5"/>
        <color rgb="FF000000"/>
        <rFont val="Times New Roman"/>
        <charset val="134"/>
      </rPr>
      <t>17#</t>
    </r>
    <r>
      <rPr>
        <sz val="10.5"/>
        <color rgb="FF000000"/>
        <rFont val="宋体"/>
        <charset val="134"/>
      </rPr>
      <t>保税物流中心</t>
    </r>
  </si>
  <si>
    <t>2.10.9</t>
  </si>
  <si>
    <t>2.10.10</t>
  </si>
  <si>
    <t>2.10.11</t>
  </si>
  <si>
    <r>
      <rPr>
        <sz val="10.5"/>
        <color rgb="FF000000"/>
        <rFont val="Times New Roman"/>
        <charset val="134"/>
      </rPr>
      <t>18#</t>
    </r>
    <r>
      <rPr>
        <sz val="10.5"/>
        <color rgb="FF000000"/>
        <rFont val="宋体"/>
        <charset val="134"/>
      </rPr>
      <t>保税物流中心</t>
    </r>
  </si>
  <si>
    <t>2.11.9</t>
  </si>
  <si>
    <t>2.11.10</t>
  </si>
  <si>
    <t>2.11.11</t>
  </si>
  <si>
    <r>
      <rPr>
        <sz val="10.5"/>
        <color rgb="FF000000"/>
        <rFont val="Times New Roman"/>
        <charset val="134"/>
      </rPr>
      <t>19#</t>
    </r>
    <r>
      <rPr>
        <sz val="10.5"/>
        <color rgb="FF000000"/>
        <rFont val="宋体"/>
        <charset val="134"/>
      </rPr>
      <t>综合配套中心</t>
    </r>
  </si>
  <si>
    <t>地上</t>
  </si>
  <si>
    <t>3.1.1.1</t>
  </si>
  <si>
    <t>3.1.1.2</t>
  </si>
  <si>
    <t>3.1.1.3</t>
  </si>
  <si>
    <t>3.1.1.4</t>
  </si>
  <si>
    <t>3.1.1.5</t>
  </si>
  <si>
    <t>3.1.1.6</t>
  </si>
  <si>
    <t>3.1.1.7</t>
  </si>
  <si>
    <t>3.1.1.8</t>
  </si>
  <si>
    <t>3.1.1.9</t>
  </si>
  <si>
    <t>3.1.1.10</t>
  </si>
  <si>
    <t>3.1.1.11</t>
  </si>
  <si>
    <t>地下</t>
  </si>
  <si>
    <t>3.1.2.1</t>
  </si>
  <si>
    <t>3.1.2.2</t>
  </si>
  <si>
    <t>3.1.2.3</t>
  </si>
  <si>
    <t>3.1.2.4</t>
  </si>
  <si>
    <t>3.1.2.5</t>
  </si>
  <si>
    <t>3.1.2.6</t>
  </si>
  <si>
    <t>3.1.2.7</t>
  </si>
  <si>
    <t>3.1.2.8</t>
  </si>
  <si>
    <t>3.1.2.9</t>
  </si>
  <si>
    <t>人防工程</t>
  </si>
  <si>
    <t>3.1.2.10</t>
  </si>
  <si>
    <t>3.1.2.11</t>
  </si>
  <si>
    <r>
      <rPr>
        <sz val="10.5"/>
        <color rgb="FF000000"/>
        <rFont val="Times New Roman"/>
        <charset val="134"/>
      </rPr>
      <t>21#</t>
    </r>
    <r>
      <rPr>
        <sz val="10.5"/>
        <color rgb="FF000000"/>
        <rFont val="宋体"/>
        <charset val="134"/>
      </rPr>
      <t>商贸物流大楼</t>
    </r>
  </si>
  <si>
    <t>3.2.1.1</t>
  </si>
  <si>
    <t>3.2.1.2</t>
  </si>
  <si>
    <t>3.2.1.3</t>
  </si>
  <si>
    <t>3.2.1.4</t>
  </si>
  <si>
    <t>3.2.1.5</t>
  </si>
  <si>
    <t>3.2.1.6</t>
  </si>
  <si>
    <t>3.2.1.7</t>
  </si>
  <si>
    <t>3.2.1.8</t>
  </si>
  <si>
    <t>3.2.1.9</t>
  </si>
  <si>
    <t>3.2.1.10</t>
  </si>
  <si>
    <t>3.2.1.11</t>
  </si>
  <si>
    <t>3.2.1.12</t>
  </si>
  <si>
    <t>3.2.2.1</t>
  </si>
  <si>
    <t>3.2.2.2</t>
  </si>
  <si>
    <t>3.2.2.3</t>
  </si>
  <si>
    <t>3.2.2.4</t>
  </si>
  <si>
    <t>3.2.2.5</t>
  </si>
  <si>
    <t>3.2.2.6</t>
  </si>
  <si>
    <t>3.2.2.7</t>
  </si>
  <si>
    <t>3.2.2.8</t>
  </si>
  <si>
    <t>3.2.2.9</t>
  </si>
  <si>
    <t>3.2.2.10</t>
  </si>
  <si>
    <t>3.2.2.11</t>
  </si>
  <si>
    <t>信息化与相关设备</t>
  </si>
  <si>
    <t>弱电信息化工程</t>
  </si>
  <si>
    <t>门禁系统、有线电视、会议系统、监控系统、消防报警系统等。</t>
  </si>
  <si>
    <r>
      <rPr>
        <sz val="10.5"/>
        <color rgb="FF000000"/>
        <rFont val="Times New Roman"/>
        <charset val="134"/>
      </rPr>
      <t>20#</t>
    </r>
    <r>
      <rPr>
        <sz val="10.5"/>
        <color rgb="FF000000"/>
        <rFont val="宋体"/>
        <charset val="134"/>
      </rPr>
      <t>商贸物流大楼</t>
    </r>
  </si>
  <si>
    <t>工艺设备</t>
  </si>
  <si>
    <r>
      <rPr>
        <sz val="10.5"/>
        <color rgb="FF000000"/>
        <rFont val="Times New Roman"/>
        <charset val="134"/>
      </rPr>
      <t>1#</t>
    </r>
    <r>
      <rPr>
        <sz val="10.5"/>
        <color rgb="FF000000"/>
        <rFont val="宋体"/>
        <charset val="134"/>
      </rPr>
      <t>高架联络桥</t>
    </r>
  </si>
  <si>
    <t>5.1.1</t>
  </si>
  <si>
    <t>路基工程</t>
  </si>
  <si>
    <t>5.1.2</t>
  </si>
  <si>
    <t>桥梁工程</t>
  </si>
  <si>
    <t>照明工程</t>
  </si>
  <si>
    <r>
      <rPr>
        <sz val="10.5"/>
        <color rgb="FF000000"/>
        <rFont val="Times New Roman"/>
        <charset val="134"/>
      </rPr>
      <t>2#</t>
    </r>
    <r>
      <rPr>
        <sz val="10.5"/>
        <color rgb="FF000000"/>
        <rFont val="宋体"/>
        <charset val="134"/>
      </rPr>
      <t>预留高架联络桥</t>
    </r>
  </si>
  <si>
    <t>5.2.2</t>
  </si>
  <si>
    <t>5.2.3</t>
  </si>
  <si>
    <t>5.2.4</t>
  </si>
  <si>
    <r>
      <rPr>
        <sz val="10.5"/>
        <color rgb="FF000000"/>
        <rFont val="Times New Roman"/>
        <charset val="134"/>
      </rPr>
      <t>3#</t>
    </r>
    <r>
      <rPr>
        <sz val="10.5"/>
        <color rgb="FF000000"/>
        <rFont val="宋体"/>
        <charset val="134"/>
      </rPr>
      <t>平交联络桥</t>
    </r>
  </si>
  <si>
    <t>5.3.1</t>
  </si>
  <si>
    <t>5.3.2</t>
  </si>
  <si>
    <t>5.3.3</t>
  </si>
  <si>
    <r>
      <rPr>
        <sz val="10.5"/>
        <color rgb="FF000000"/>
        <rFont val="Times New Roman"/>
        <charset val="134"/>
      </rPr>
      <t>4#</t>
    </r>
    <r>
      <rPr>
        <sz val="10.5"/>
        <color rgb="FF000000"/>
        <rFont val="宋体"/>
        <charset val="134"/>
      </rPr>
      <t>高架桥</t>
    </r>
  </si>
  <si>
    <t>5.4.1</t>
  </si>
  <si>
    <t>5.4.2</t>
  </si>
  <si>
    <t>5.4.3</t>
  </si>
  <si>
    <r>
      <rPr>
        <sz val="10.5"/>
        <color rgb="FF000000"/>
        <rFont val="Times New Roman"/>
        <charset val="134"/>
      </rPr>
      <t>22#</t>
    </r>
    <r>
      <rPr>
        <sz val="10.5"/>
        <color rgb="FF000000"/>
        <rFont val="宋体"/>
        <charset val="134"/>
      </rPr>
      <t>道口</t>
    </r>
  </si>
  <si>
    <t>5.5.1</t>
  </si>
  <si>
    <t>5.5.2</t>
  </si>
  <si>
    <t>5.5.3</t>
  </si>
  <si>
    <t>道路、场坪</t>
  </si>
  <si>
    <t>5.6.1</t>
  </si>
  <si>
    <t>二期</t>
  </si>
  <si>
    <t>5.6.1.1</t>
  </si>
  <si>
    <t>道路工程</t>
  </si>
  <si>
    <t>5.6.1.1.1</t>
  </si>
  <si>
    <t>5.6.1.1.2</t>
  </si>
  <si>
    <t>路面工程</t>
  </si>
  <si>
    <t>5.6.1.1.3</t>
  </si>
  <si>
    <t>室外给排水工程</t>
  </si>
  <si>
    <t>5.6.1.1.4</t>
  </si>
  <si>
    <t>室外电气工程</t>
  </si>
  <si>
    <t>专题研究</t>
  </si>
  <si>
    <t>二</t>
  </si>
  <si>
    <t>工程建设其他费</t>
  </si>
  <si>
    <t>建设单位管理费</t>
  </si>
  <si>
    <r>
      <rPr>
        <sz val="10.5"/>
        <color rgb="FF000000"/>
        <rFont val="宋体"/>
        <charset val="134"/>
      </rPr>
      <t>参照财建</t>
    </r>
    <r>
      <rPr>
        <sz val="10.5"/>
        <color rgb="FF000000"/>
        <rFont val="Times New Roman"/>
        <charset val="134"/>
      </rPr>
      <t>[2016]504</t>
    </r>
    <r>
      <rPr>
        <sz val="10.5"/>
        <color rgb="FF000000"/>
        <rFont val="宋体"/>
        <charset val="134"/>
      </rPr>
      <t>号</t>
    </r>
  </si>
  <si>
    <t>工程建设监理费</t>
  </si>
  <si>
    <r>
      <rPr>
        <sz val="10.5"/>
        <color rgb="FF000000"/>
        <rFont val="宋体"/>
        <charset val="134"/>
      </rPr>
      <t>参照发改价格</t>
    </r>
    <r>
      <rPr>
        <sz val="10.5"/>
        <color rgb="FF000000"/>
        <rFont val="Times New Roman"/>
        <charset val="134"/>
      </rPr>
      <t>[2007]670</t>
    </r>
    <r>
      <rPr>
        <sz val="10.5"/>
        <color rgb="FF000000"/>
        <rFont val="宋体"/>
        <charset val="134"/>
      </rPr>
      <t>号</t>
    </r>
  </si>
  <si>
    <t>建设项目前期咨询费用</t>
  </si>
  <si>
    <t>可研报告及资金申请报告编制</t>
  </si>
  <si>
    <r>
      <rPr>
        <sz val="10.5"/>
        <color rgb="FF000000"/>
        <rFont val="宋体"/>
        <charset val="134"/>
      </rPr>
      <t>参照计价格</t>
    </r>
    <r>
      <rPr>
        <sz val="10.5"/>
        <color rgb="FF000000"/>
        <rFont val="Times New Roman"/>
        <charset val="134"/>
      </rPr>
      <t>[1999]1283</t>
    </r>
    <r>
      <rPr>
        <sz val="10.5"/>
        <color rgb="FF000000"/>
        <rFont val="宋体"/>
        <charset val="134"/>
      </rPr>
      <t>号</t>
    </r>
  </si>
  <si>
    <t>水土保持相关费用</t>
  </si>
  <si>
    <r>
      <rPr>
        <sz val="10.5"/>
        <color rgb="FF000000"/>
        <rFont val="宋体"/>
        <charset val="134"/>
      </rPr>
      <t>参照水利部保监</t>
    </r>
    <r>
      <rPr>
        <sz val="10.5"/>
        <color rgb="FF000000"/>
        <rFont val="Times New Roman"/>
        <charset val="134"/>
      </rPr>
      <t>[2005]22</t>
    </r>
    <r>
      <rPr>
        <sz val="10.5"/>
        <color rgb="FF000000"/>
        <rFont val="宋体"/>
        <charset val="134"/>
      </rPr>
      <t>号</t>
    </r>
  </si>
  <si>
    <t>水土保持方案编制费</t>
  </si>
  <si>
    <t>水土保持监测费</t>
  </si>
  <si>
    <t>水土保持设施竣工验收技术评估报告编制费</t>
  </si>
  <si>
    <t>水土保持补偿费</t>
  </si>
  <si>
    <r>
      <rPr>
        <sz val="10.5"/>
        <color rgb="FF000000"/>
        <rFont val="宋体"/>
        <charset val="134"/>
      </rPr>
      <t>鄂价环资</t>
    </r>
    <r>
      <rPr>
        <sz val="10.5"/>
        <color rgb="FF000000"/>
        <rFont val="Times New Roman"/>
        <charset val="134"/>
      </rPr>
      <t>[2017]93</t>
    </r>
    <r>
      <rPr>
        <sz val="10.5"/>
        <color rgb="FF000000"/>
        <rFont val="宋体"/>
        <charset val="134"/>
      </rPr>
      <t>号</t>
    </r>
  </si>
  <si>
    <t>勘察设计费</t>
  </si>
  <si>
    <t>工程勘察费</t>
  </si>
  <si>
    <r>
      <rPr>
        <sz val="10.5"/>
        <color rgb="FF000000"/>
        <rFont val="宋体"/>
        <charset val="134"/>
      </rPr>
      <t>参照计价格</t>
    </r>
    <r>
      <rPr>
        <sz val="10.5"/>
        <color rgb="FF000000"/>
        <rFont val="Times New Roman"/>
        <charset val="134"/>
      </rPr>
      <t>[2002]10</t>
    </r>
    <r>
      <rPr>
        <sz val="10.5"/>
        <color rgb="FF000000"/>
        <rFont val="宋体"/>
        <charset val="134"/>
      </rPr>
      <t>号</t>
    </r>
  </si>
  <si>
    <t>工程设计费</t>
  </si>
  <si>
    <t>施工图预算编制费</t>
  </si>
  <si>
    <t>竣工图编制费</t>
  </si>
  <si>
    <t>建设工程造价咨询服务费</t>
  </si>
  <si>
    <r>
      <rPr>
        <sz val="10.5"/>
        <color rgb="FF000000"/>
        <rFont val="宋体"/>
        <charset val="134"/>
      </rPr>
      <t>参照鄂价工服规</t>
    </r>
    <r>
      <rPr>
        <sz val="10.5"/>
        <color rgb="FF000000"/>
        <rFont val="Times New Roman"/>
        <charset val="134"/>
      </rPr>
      <t>[2012]149</t>
    </r>
    <r>
      <rPr>
        <sz val="10.5"/>
        <color rgb="FF000000"/>
        <rFont val="宋体"/>
        <charset val="134"/>
      </rPr>
      <t>号</t>
    </r>
  </si>
  <si>
    <t>工程量清单编制</t>
  </si>
  <si>
    <t>控制价编制</t>
  </si>
  <si>
    <t>施工阶段全过程造价控制</t>
  </si>
  <si>
    <t>竣工决算审核</t>
  </si>
  <si>
    <t>场地准备及临时设施费</t>
  </si>
  <si>
    <r>
      <rPr>
        <sz val="10.5"/>
        <color rgb="FF000000"/>
        <rFont val="宋体"/>
        <charset val="134"/>
      </rPr>
      <t>工程费用</t>
    </r>
    <r>
      <rPr>
        <sz val="10.5"/>
        <color rgb="FF000000"/>
        <rFont val="Times New Roman"/>
        <charset val="134"/>
      </rPr>
      <t>1%</t>
    </r>
  </si>
  <si>
    <t>工程保险费</t>
  </si>
  <si>
    <r>
      <rPr>
        <sz val="10.5"/>
        <color rgb="FF000000"/>
        <rFont val="宋体"/>
        <charset val="134"/>
      </rPr>
      <t>工程费用</t>
    </r>
    <r>
      <rPr>
        <sz val="10.5"/>
        <color rgb="FF000000"/>
        <rFont val="Times New Roman"/>
        <charset val="134"/>
      </rPr>
      <t>0.5%</t>
    </r>
  </si>
  <si>
    <t>招标代理服务费</t>
  </si>
  <si>
    <r>
      <rPr>
        <sz val="10.5"/>
        <color rgb="FF000000"/>
        <rFont val="宋体"/>
        <charset val="134"/>
      </rPr>
      <t>参照计价格</t>
    </r>
    <r>
      <rPr>
        <sz val="10.5"/>
        <color rgb="FF000000"/>
        <rFont val="Times New Roman"/>
        <charset val="134"/>
      </rPr>
      <t>[2002]1980</t>
    </r>
    <r>
      <rPr>
        <sz val="10.5"/>
        <color rgb="FF000000"/>
        <rFont val="宋体"/>
        <charset val="134"/>
      </rPr>
      <t>号</t>
    </r>
  </si>
  <si>
    <t>工程招标</t>
  </si>
  <si>
    <t>服务招标</t>
  </si>
  <si>
    <t>10.2.1</t>
  </si>
  <si>
    <t>设计招标</t>
  </si>
  <si>
    <t>10.2.2</t>
  </si>
  <si>
    <t>勘察招标</t>
  </si>
  <si>
    <t>10.2.3</t>
  </si>
  <si>
    <t>监理招标</t>
  </si>
  <si>
    <t>环境影响咨询服务费</t>
  </si>
  <si>
    <t>社会稳定性风险评估</t>
  </si>
  <si>
    <t>节能报告评估</t>
  </si>
  <si>
    <t>建筑垃圾服务费</t>
  </si>
  <si>
    <t>地质灾害危害性评估</t>
  </si>
  <si>
    <t>交通影响评价费</t>
  </si>
  <si>
    <t>高可靠性供电费</t>
  </si>
  <si>
    <t>第三方检测费</t>
  </si>
  <si>
    <t>三</t>
  </si>
  <si>
    <t>预备费</t>
  </si>
  <si>
    <t>(1+2)×5%</t>
  </si>
  <si>
    <t>四</t>
  </si>
  <si>
    <t>专项费用</t>
  </si>
  <si>
    <t>土地费用</t>
  </si>
  <si>
    <t>土地使用费</t>
  </si>
  <si>
    <t>亩</t>
  </si>
  <si>
    <t>土地拆迁费</t>
  </si>
  <si>
    <t>外电报装</t>
  </si>
  <si>
    <t>外水报装</t>
  </si>
  <si>
    <t>燃气报装</t>
  </si>
  <si>
    <t>五</t>
  </si>
  <si>
    <t>建设投资</t>
  </si>
  <si>
    <r>
      <rPr>
        <sz val="10.5"/>
        <color rgb="FF000000"/>
        <rFont val="宋体"/>
        <charset val="134"/>
      </rPr>
      <t>（一</t>
    </r>
    <r>
      <rPr>
        <sz val="10.5"/>
        <color rgb="FF000000"/>
        <rFont val="Times New Roman"/>
        <charset val="134"/>
      </rPr>
      <t>+</t>
    </r>
    <r>
      <rPr>
        <sz val="10.5"/>
        <color rgb="FF000000"/>
        <rFont val="宋体"/>
        <charset val="134"/>
      </rPr>
      <t>二</t>
    </r>
    <r>
      <rPr>
        <sz val="10.5"/>
        <color rgb="FF000000"/>
        <rFont val="Times New Roman"/>
        <charset val="134"/>
      </rPr>
      <t>+</t>
    </r>
    <r>
      <rPr>
        <sz val="10.5"/>
        <color rgb="FF000000"/>
        <rFont val="宋体"/>
        <charset val="134"/>
      </rPr>
      <t>三）</t>
    </r>
  </si>
  <si>
    <t>六</t>
  </si>
  <si>
    <t>建设期利息及贷款费用</t>
  </si>
  <si>
    <t>建设期利息</t>
  </si>
  <si>
    <r>
      <rPr>
        <sz val="10.5"/>
        <color rgb="FF000000"/>
        <rFont val="宋体"/>
        <charset val="134"/>
      </rPr>
      <t>先征费（</t>
    </r>
    <r>
      <rPr>
        <sz val="10.5"/>
        <color rgb="FF000000"/>
        <rFont val="Times New Roman"/>
        <charset val="134"/>
      </rPr>
      <t>0.25%</t>
    </r>
    <r>
      <rPr>
        <sz val="10.5"/>
        <color rgb="FF000000"/>
        <rFont val="宋体"/>
        <charset val="134"/>
      </rPr>
      <t>）</t>
    </r>
  </si>
  <si>
    <r>
      <rPr>
        <sz val="10.5"/>
        <color rgb="FF000000"/>
        <rFont val="宋体"/>
        <charset val="134"/>
      </rPr>
      <t>承诺费（</t>
    </r>
    <r>
      <rPr>
        <sz val="10.5"/>
        <color rgb="FF000000"/>
        <rFont val="Times New Roman"/>
        <charset val="134"/>
      </rPr>
      <t>0.25%</t>
    </r>
    <r>
      <rPr>
        <sz val="10.5"/>
        <color rgb="FF000000"/>
        <rFont val="宋体"/>
        <charset val="134"/>
      </rPr>
      <t>）</t>
    </r>
  </si>
  <si>
    <t>七</t>
  </si>
  <si>
    <t>流动资金</t>
  </si>
  <si>
    <t>八</t>
  </si>
  <si>
    <t>总投资</t>
  </si>
  <si>
    <r>
      <rPr>
        <sz val="10.5"/>
        <color rgb="FF000000"/>
        <rFont val="宋体"/>
        <charset val="134"/>
      </rPr>
      <t>（四</t>
    </r>
    <r>
      <rPr>
        <sz val="10.5"/>
        <color rgb="FF000000"/>
        <rFont val="Times New Roman"/>
        <charset val="134"/>
      </rPr>
      <t>+</t>
    </r>
    <r>
      <rPr>
        <sz val="10.5"/>
        <color rgb="FF000000"/>
        <rFont val="宋体"/>
        <charset val="134"/>
      </rPr>
      <t>五</t>
    </r>
    <r>
      <rPr>
        <sz val="10.5"/>
        <color rgb="FF000000"/>
        <rFont val="Times New Roman"/>
        <charset val="134"/>
      </rPr>
      <t>+</t>
    </r>
    <r>
      <rPr>
        <sz val="10.5"/>
        <color rgb="FF000000"/>
        <rFont val="宋体"/>
        <charset val="134"/>
      </rPr>
      <t>六</t>
    </r>
    <r>
      <rPr>
        <sz val="10.5"/>
        <color rgb="FF000000"/>
        <rFont val="Times New Roman"/>
        <charset val="134"/>
      </rPr>
      <t>+</t>
    </r>
    <r>
      <rPr>
        <sz val="10.5"/>
        <color rgb="FF000000"/>
        <rFont val="宋体"/>
        <charset val="134"/>
      </rPr>
      <t>七）</t>
    </r>
  </si>
  <si>
    <r>
      <rPr>
        <b/>
        <sz val="10"/>
        <rFont val="宋体"/>
        <charset val="134"/>
      </rPr>
      <t>附件</t>
    </r>
    <r>
      <rPr>
        <b/>
        <sz val="10"/>
        <rFont val="Arial"/>
        <charset val="134"/>
      </rPr>
      <t>1-</t>
    </r>
    <r>
      <rPr>
        <b/>
        <sz val="10"/>
        <rFont val="宋体"/>
        <charset val="134"/>
      </rPr>
      <t>湖北国际航空货运物流园项目采购计划</t>
    </r>
  </si>
  <si>
    <r>
      <rPr>
        <b/>
        <sz val="10"/>
        <rFont val="宋体"/>
        <charset val="134"/>
      </rPr>
      <t>编号</t>
    </r>
  </si>
  <si>
    <r>
      <rPr>
        <b/>
        <sz val="10"/>
        <rFont val="宋体"/>
        <charset val="134"/>
      </rPr>
      <t>合同号</t>
    </r>
  </si>
  <si>
    <r>
      <rPr>
        <b/>
        <sz val="10"/>
        <rFont val="宋体"/>
        <charset val="134"/>
      </rPr>
      <t>采购内容</t>
    </r>
  </si>
  <si>
    <r>
      <rPr>
        <b/>
        <sz val="10"/>
        <rFont val="宋体"/>
        <charset val="134"/>
      </rPr>
      <t>项目实施单位</t>
    </r>
  </si>
  <si>
    <r>
      <rPr>
        <b/>
        <sz val="10"/>
        <rFont val="宋体"/>
        <charset val="134"/>
      </rPr>
      <t>成本估算</t>
    </r>
  </si>
  <si>
    <r>
      <rPr>
        <b/>
        <sz val="10"/>
        <rFont val="宋体"/>
        <charset val="134"/>
      </rPr>
      <t>资金来源</t>
    </r>
    <r>
      <rPr>
        <b/>
        <sz val="10"/>
        <rFont val="宋体"/>
        <charset val="134"/>
      </rPr>
      <t>占比</t>
    </r>
  </si>
  <si>
    <r>
      <rPr>
        <b/>
        <sz val="10"/>
        <rFont val="宋体"/>
        <charset val="134"/>
      </rPr>
      <t>公告日期</t>
    </r>
  </si>
  <si>
    <t>是否
提前采购</t>
  </si>
  <si>
    <t>是否使用
追溯贷款</t>
  </si>
  <si>
    <t>备注</t>
  </si>
  <si>
    <r>
      <rPr>
        <b/>
        <sz val="10"/>
        <rFont val="宋体"/>
        <charset val="134"/>
      </rPr>
      <t>人民币</t>
    </r>
    <r>
      <rPr>
        <b/>
        <sz val="10"/>
        <rFont val="Arial"/>
        <charset val="134"/>
      </rPr>
      <t>(</t>
    </r>
    <r>
      <rPr>
        <b/>
        <sz val="10"/>
        <rFont val="宋体"/>
        <charset val="134"/>
      </rPr>
      <t>万元</t>
    </r>
    <r>
      <rPr>
        <b/>
        <sz val="10"/>
        <rFont val="Arial"/>
        <charset val="134"/>
      </rPr>
      <t>)</t>
    </r>
  </si>
  <si>
    <r>
      <rPr>
        <b/>
        <sz val="10"/>
        <rFont val="宋体"/>
        <charset val="134"/>
      </rPr>
      <t>美元</t>
    </r>
    <r>
      <rPr>
        <b/>
        <sz val="10"/>
        <rFont val="Arial"/>
        <charset val="134"/>
      </rPr>
      <t>(</t>
    </r>
    <r>
      <rPr>
        <b/>
        <sz val="10"/>
        <rFont val="宋体"/>
        <charset val="134"/>
      </rPr>
      <t>万元</t>
    </r>
    <r>
      <rPr>
        <b/>
        <sz val="10"/>
        <rFont val="Arial"/>
        <charset val="134"/>
      </rPr>
      <t>)</t>
    </r>
  </si>
  <si>
    <t>亚投行</t>
  </si>
  <si>
    <t>P000770-CW01</t>
  </si>
  <si>
    <r>
      <rPr>
        <sz val="10"/>
        <rFont val="Arial"/>
        <charset val="134"/>
      </rPr>
      <t>2#+3#</t>
    </r>
    <r>
      <rPr>
        <sz val="10"/>
        <rFont val="宋体"/>
        <charset val="134"/>
      </rPr>
      <t>国际货运站建设</t>
    </r>
  </si>
  <si>
    <r>
      <rPr>
        <sz val="10"/>
        <rFont val="宋体"/>
        <charset val="134"/>
      </rPr>
      <t>鄂州临空集团</t>
    </r>
  </si>
  <si>
    <t>2024Q3</t>
  </si>
  <si>
    <t>否</t>
  </si>
  <si>
    <t>1.2+1.3</t>
  </si>
  <si>
    <t>P000770-CW02</t>
  </si>
  <si>
    <r>
      <rPr>
        <sz val="10"/>
        <rFont val="宋体"/>
        <charset val="134"/>
      </rPr>
      <t>国际快件中心</t>
    </r>
  </si>
  <si>
    <t>2024Q4</t>
  </si>
  <si>
    <t>P000770-CW03</t>
  </si>
  <si>
    <r>
      <rPr>
        <sz val="10"/>
        <rFont val="Arial"/>
        <charset val="134"/>
      </rPr>
      <t>8#+9#+11#+12#+13#+14#</t>
    </r>
    <r>
      <rPr>
        <sz val="10"/>
        <rFont val="宋体"/>
        <charset val="134"/>
      </rPr>
      <t>保税加工中心</t>
    </r>
  </si>
  <si>
    <t>2.1+2.2</t>
  </si>
  <si>
    <t>P000770-CW04</t>
  </si>
  <si>
    <r>
      <rPr>
        <sz val="10"/>
        <rFont val="Arial"/>
        <charset val="134"/>
      </rPr>
      <t>20#</t>
    </r>
    <r>
      <rPr>
        <sz val="10"/>
        <rFont val="宋体"/>
        <charset val="134"/>
      </rPr>
      <t>商贸物流大厦</t>
    </r>
  </si>
  <si>
    <t>P000770-CW05</t>
  </si>
  <si>
    <r>
      <rPr>
        <sz val="10"/>
        <rFont val="Arial"/>
        <charset val="134"/>
      </rPr>
      <t>10#</t>
    </r>
    <r>
      <rPr>
        <sz val="10"/>
        <rFont val="宋体"/>
        <charset val="134"/>
      </rPr>
      <t>危险品仓库</t>
    </r>
  </si>
  <si>
    <t>5.1~5.5</t>
  </si>
  <si>
    <t>P000770-CW06</t>
  </si>
  <si>
    <r>
      <rPr>
        <sz val="10"/>
        <rFont val="Arial"/>
        <charset val="134"/>
      </rPr>
      <t>1#</t>
    </r>
    <r>
      <rPr>
        <sz val="10"/>
        <rFont val="宋体"/>
        <charset val="134"/>
      </rPr>
      <t>高架联络桥</t>
    </r>
    <r>
      <rPr>
        <sz val="10"/>
        <rFont val="Arial"/>
        <charset val="134"/>
      </rPr>
      <t>+3#</t>
    </r>
    <r>
      <rPr>
        <sz val="10"/>
        <rFont val="宋体"/>
        <charset val="134"/>
      </rPr>
      <t>平交联络桥</t>
    </r>
    <r>
      <rPr>
        <sz val="10"/>
        <rFont val="Arial"/>
        <charset val="134"/>
      </rPr>
      <t>+4#</t>
    </r>
    <r>
      <rPr>
        <sz val="10"/>
        <rFont val="宋体"/>
        <charset val="134"/>
      </rPr>
      <t>高架桥</t>
    </r>
    <r>
      <rPr>
        <sz val="10"/>
        <rFont val="Arial"/>
        <charset val="134"/>
      </rPr>
      <t>+22#</t>
    </r>
    <r>
      <rPr>
        <sz val="10"/>
        <rFont val="宋体"/>
        <charset val="134"/>
      </rPr>
      <t>道口</t>
    </r>
  </si>
  <si>
    <t>5.6</t>
  </si>
  <si>
    <t>P000770-CW07</t>
  </si>
  <si>
    <r>
      <rPr>
        <sz val="10"/>
        <rFont val="宋体"/>
        <charset val="134"/>
      </rPr>
      <t>道路工程</t>
    </r>
    <r>
      <rPr>
        <sz val="10"/>
        <rFont val="Arial"/>
        <charset val="134"/>
      </rPr>
      <t>+2</t>
    </r>
    <r>
      <rPr>
        <sz val="10"/>
        <rFont val="Arial"/>
        <charset val="134"/>
      </rPr>
      <t>#</t>
    </r>
    <r>
      <rPr>
        <sz val="10"/>
        <rFont val="宋体"/>
        <charset val="134"/>
      </rPr>
      <t>海关卡口</t>
    </r>
    <r>
      <rPr>
        <sz val="10"/>
        <rFont val="Arial"/>
        <charset val="134"/>
      </rPr>
      <t>+4#</t>
    </r>
    <r>
      <rPr>
        <sz val="10"/>
        <rFont val="宋体"/>
        <charset val="134"/>
      </rPr>
      <t>海关卡口</t>
    </r>
    <r>
      <rPr>
        <sz val="10"/>
        <rFont val="Arial"/>
        <charset val="134"/>
      </rPr>
      <t>+</t>
    </r>
    <r>
      <rPr>
        <sz val="10"/>
        <rFont val="宋体"/>
        <charset val="134"/>
      </rPr>
      <t>海关围网</t>
    </r>
  </si>
  <si>
    <t>P000770-CW08</t>
  </si>
  <si>
    <r>
      <rPr>
        <sz val="10"/>
        <rFont val="Arial"/>
        <charset val="134"/>
      </rPr>
      <t>15#+16#+17#+18#</t>
    </r>
    <r>
      <rPr>
        <sz val="10"/>
        <rFont val="宋体"/>
        <charset val="134"/>
      </rPr>
      <t>保税加工中心</t>
    </r>
  </si>
  <si>
    <t>2.3~2.6</t>
  </si>
  <si>
    <t>P000770-CW09</t>
  </si>
  <si>
    <r>
      <rPr>
        <sz val="10"/>
        <rFont val="Arial"/>
        <charset val="134"/>
      </rPr>
      <t>19#</t>
    </r>
    <r>
      <rPr>
        <sz val="10"/>
        <rFont val="宋体"/>
        <charset val="134"/>
      </rPr>
      <t>综合配套中心</t>
    </r>
  </si>
  <si>
    <t>2.7~2.11</t>
  </si>
  <si>
    <t>P000770-CW10</t>
  </si>
  <si>
    <r>
      <rPr>
        <sz val="10"/>
        <rFont val="Arial"/>
        <charset val="134"/>
      </rPr>
      <t>2#</t>
    </r>
    <r>
      <rPr>
        <sz val="10"/>
        <rFont val="宋体"/>
        <charset val="134"/>
      </rPr>
      <t>预留高架桥</t>
    </r>
  </si>
  <si>
    <t>P000770-CW11</t>
  </si>
  <si>
    <t>整个项目的绿化工程</t>
  </si>
  <si>
    <t>2027Q2</t>
  </si>
  <si>
    <t>2027Q3</t>
  </si>
  <si>
    <t>P000770-GD01</t>
  </si>
  <si>
    <r>
      <rPr>
        <sz val="10"/>
        <rFont val="宋体"/>
        <charset val="134"/>
      </rPr>
      <t>国际货站航空集装器</t>
    </r>
    <r>
      <rPr>
        <sz val="10"/>
        <rFont val="Arial"/>
        <charset val="134"/>
      </rPr>
      <t>CT</t>
    </r>
    <r>
      <rPr>
        <sz val="10"/>
        <rFont val="宋体"/>
        <charset val="134"/>
      </rPr>
      <t>安检系统</t>
    </r>
  </si>
  <si>
    <t>P000770-GD02</t>
  </si>
  <si>
    <r>
      <rPr>
        <sz val="10"/>
        <rFont val="Arial"/>
        <charset val="134"/>
      </rPr>
      <t>2#</t>
    </r>
    <r>
      <rPr>
        <sz val="10"/>
        <rFont val="宋体"/>
        <charset val="134"/>
      </rPr>
      <t>、</t>
    </r>
    <r>
      <rPr>
        <sz val="10"/>
        <rFont val="Arial"/>
        <charset val="134"/>
      </rPr>
      <t>3#</t>
    </r>
    <r>
      <rPr>
        <sz val="10"/>
        <rFont val="宋体"/>
        <charset val="134"/>
      </rPr>
      <t>国际货运站民航专业工程设备</t>
    </r>
  </si>
  <si>
    <r>
      <rPr>
        <sz val="10"/>
        <rFont val="Arial Narrow"/>
        <charset val="134"/>
      </rPr>
      <t>4.1</t>
    </r>
    <r>
      <rPr>
        <sz val="10"/>
        <rFont val="宋体"/>
        <charset val="134"/>
      </rPr>
      <t>硬件</t>
    </r>
  </si>
  <si>
    <t>P000770-GD03</t>
  </si>
  <si>
    <r>
      <rPr>
        <sz val="10"/>
        <rFont val="Arial"/>
        <charset val="134"/>
      </rPr>
      <t>2#</t>
    </r>
    <r>
      <rPr>
        <sz val="10"/>
        <rFont val="宋体"/>
        <charset val="134"/>
      </rPr>
      <t>、</t>
    </r>
    <r>
      <rPr>
        <sz val="10"/>
        <rFont val="Arial"/>
        <charset val="134"/>
      </rPr>
      <t>3#</t>
    </r>
    <r>
      <rPr>
        <sz val="10"/>
        <rFont val="宋体"/>
        <charset val="134"/>
      </rPr>
      <t>国际货运站主要运行设备及海关设备</t>
    </r>
  </si>
  <si>
    <r>
      <rPr>
        <sz val="10"/>
        <rFont val="Arial Narrow"/>
        <charset val="134"/>
      </rPr>
      <t>4.2</t>
    </r>
    <r>
      <rPr>
        <sz val="10"/>
        <rFont val="宋体"/>
        <charset val="134"/>
      </rPr>
      <t>硬件</t>
    </r>
  </si>
  <si>
    <t>P000770-GD04</t>
  </si>
  <si>
    <r>
      <rPr>
        <sz val="10"/>
        <rFont val="Arial"/>
        <charset val="134"/>
      </rPr>
      <t>2#</t>
    </r>
    <r>
      <rPr>
        <sz val="10"/>
        <rFont val="宋体"/>
        <charset val="134"/>
      </rPr>
      <t>、</t>
    </r>
    <r>
      <rPr>
        <sz val="10"/>
        <rFont val="Arial"/>
        <charset val="134"/>
      </rPr>
      <t>3#</t>
    </r>
    <r>
      <rPr>
        <sz val="10"/>
        <rFont val="宋体"/>
        <charset val="134"/>
      </rPr>
      <t>国际货运站货站内的车辆、可移动设备等</t>
    </r>
  </si>
  <si>
    <r>
      <rPr>
        <sz val="10"/>
        <rFont val="Arial Narrow"/>
        <charset val="134"/>
      </rPr>
      <t>4.3</t>
    </r>
    <r>
      <rPr>
        <sz val="10"/>
        <rFont val="宋体"/>
        <charset val="134"/>
      </rPr>
      <t>硬件</t>
    </r>
  </si>
  <si>
    <t>P000770-GD05</t>
  </si>
  <si>
    <t>国际快件中心工艺设备</t>
  </si>
  <si>
    <t>P000770-SS01</t>
  </si>
  <si>
    <r>
      <rPr>
        <sz val="10"/>
        <rFont val="宋体"/>
        <charset val="134"/>
      </rPr>
      <t>建设工程造价咨询服务费</t>
    </r>
  </si>
  <si>
    <t>NOCT</t>
  </si>
  <si>
    <t>P000770-SS03</t>
  </si>
  <si>
    <r>
      <rPr>
        <sz val="10"/>
        <rFont val="宋体"/>
        <charset val="134"/>
      </rPr>
      <t>第三方检测费</t>
    </r>
  </si>
  <si>
    <t>服务</t>
  </si>
  <si>
    <t>P000770-SS04</t>
  </si>
  <si>
    <t>研究费用(国际外贸规则趋势及应对、自贸区发展等)</t>
  </si>
  <si>
    <t>2024Q2</t>
  </si>
  <si>
    <r>
      <rPr>
        <sz val="10"/>
        <rFont val="Arial Narrow"/>
        <charset val="134"/>
      </rPr>
      <t>4.1</t>
    </r>
    <r>
      <rPr>
        <sz val="10"/>
        <rFont val="宋体"/>
        <charset val="134"/>
      </rPr>
      <t>软件</t>
    </r>
  </si>
  <si>
    <t>P000770-SS05</t>
  </si>
  <si>
    <t>项目管理与能力建设咨询服务</t>
  </si>
  <si>
    <r>
      <rPr>
        <sz val="10"/>
        <rFont val="宋体"/>
        <charset val="134"/>
      </rPr>
      <t>编号参见可研附表</t>
    </r>
    <r>
      <rPr>
        <sz val="10"/>
        <rFont val="Arial Narrow"/>
        <charset val="134"/>
      </rPr>
      <t>1(</t>
    </r>
    <r>
      <rPr>
        <sz val="10"/>
        <rFont val="宋体"/>
        <charset val="134"/>
      </rPr>
      <t>总投资估算表)</t>
    </r>
  </si>
  <si>
    <t>土建合计</t>
  </si>
  <si>
    <t>货物合计</t>
  </si>
  <si>
    <t>服务合计</t>
  </si>
  <si>
    <t>US(1=7.2)</t>
  </si>
  <si>
    <r>
      <rPr>
        <b/>
        <sz val="10"/>
        <rFont val="宋体"/>
        <charset val="134"/>
      </rPr>
      <t>总投资估算表</t>
    </r>
  </si>
  <si>
    <r>
      <rPr>
        <sz val="10"/>
        <color indexed="8"/>
        <rFont val="宋体"/>
        <charset val="134"/>
      </rPr>
      <t>单位：万元</t>
    </r>
  </si>
  <si>
    <r>
      <rPr>
        <b/>
        <sz val="10"/>
        <rFont val="宋体"/>
        <charset val="134"/>
      </rPr>
      <t>序号</t>
    </r>
    <r>
      <rPr>
        <b/>
        <sz val="10"/>
        <rFont val="Arial Narrow"/>
        <charset val="134"/>
      </rPr>
      <t xml:space="preserve"> </t>
    </r>
  </si>
  <si>
    <r>
      <rPr>
        <b/>
        <sz val="10"/>
        <rFont val="宋体"/>
        <charset val="134"/>
      </rPr>
      <t>工程和费用名称</t>
    </r>
  </si>
  <si>
    <r>
      <rPr>
        <b/>
        <sz val="10"/>
        <rFont val="宋体"/>
        <charset val="134"/>
      </rPr>
      <t>估算价值</t>
    </r>
    <r>
      <rPr>
        <b/>
        <sz val="10"/>
        <rFont val="Arial Narrow"/>
        <charset val="134"/>
      </rPr>
      <t>(</t>
    </r>
    <r>
      <rPr>
        <b/>
        <sz val="10"/>
        <rFont val="宋体"/>
        <charset val="134"/>
      </rPr>
      <t>万元</t>
    </r>
    <r>
      <rPr>
        <b/>
        <sz val="10"/>
        <rFont val="Arial Narrow"/>
        <charset val="134"/>
      </rPr>
      <t>)</t>
    </r>
  </si>
  <si>
    <r>
      <rPr>
        <sz val="10"/>
        <color indexed="8"/>
        <rFont val="宋体"/>
        <charset val="134"/>
      </rPr>
      <t>技术经济指标</t>
    </r>
  </si>
  <si>
    <r>
      <rPr>
        <b/>
        <sz val="10"/>
        <color theme="1"/>
        <rFont val="宋体"/>
        <charset val="134"/>
      </rPr>
      <t>备</t>
    </r>
    <r>
      <rPr>
        <b/>
        <sz val="10"/>
        <color theme="1"/>
        <rFont val="Arial Narrow"/>
        <charset val="134"/>
      </rPr>
      <t xml:space="preserve"> </t>
    </r>
    <r>
      <rPr>
        <b/>
        <sz val="10"/>
        <color theme="1"/>
        <rFont val="宋体"/>
        <charset val="134"/>
      </rPr>
      <t>注</t>
    </r>
  </si>
  <si>
    <r>
      <rPr>
        <b/>
        <sz val="10"/>
        <color theme="1"/>
        <rFont val="宋体"/>
        <charset val="134"/>
      </rPr>
      <t>比例</t>
    </r>
  </si>
  <si>
    <r>
      <rPr>
        <b/>
        <sz val="10"/>
        <rFont val="宋体"/>
        <charset val="134"/>
      </rPr>
      <t>建筑工程</t>
    </r>
  </si>
  <si>
    <r>
      <rPr>
        <b/>
        <sz val="10"/>
        <rFont val="宋体"/>
        <charset val="134"/>
      </rPr>
      <t>设备及安装工程费</t>
    </r>
  </si>
  <si>
    <r>
      <rPr>
        <b/>
        <sz val="10"/>
        <rFont val="宋体"/>
        <charset val="134"/>
      </rPr>
      <t>其他费用</t>
    </r>
  </si>
  <si>
    <r>
      <rPr>
        <b/>
        <sz val="10"/>
        <rFont val="宋体"/>
        <charset val="134"/>
      </rPr>
      <t>合</t>
    </r>
    <r>
      <rPr>
        <b/>
        <sz val="10"/>
        <rFont val="Arial Narrow"/>
        <charset val="134"/>
      </rPr>
      <t xml:space="preserve">  </t>
    </r>
    <r>
      <rPr>
        <b/>
        <sz val="10"/>
        <rFont val="宋体"/>
        <charset val="134"/>
      </rPr>
      <t>计</t>
    </r>
  </si>
  <si>
    <r>
      <rPr>
        <b/>
        <sz val="10"/>
        <rFont val="宋体"/>
        <charset val="134"/>
      </rPr>
      <t>室内面积或数量</t>
    </r>
  </si>
  <si>
    <r>
      <rPr>
        <b/>
        <sz val="10"/>
        <color theme="1"/>
        <rFont val="SimSun"/>
        <charset val="134"/>
      </rPr>
      <t>（万元）</t>
    </r>
  </si>
  <si>
    <r>
      <rPr>
        <b/>
        <sz val="10"/>
        <rFont val="宋体-简"/>
        <charset val="134"/>
      </rPr>
      <t>一</t>
    </r>
  </si>
  <si>
    <r>
      <rPr>
        <b/>
        <sz val="10"/>
        <rFont val="宋体"/>
        <charset val="134"/>
      </rPr>
      <t>工程费用</t>
    </r>
  </si>
  <si>
    <r>
      <rPr>
        <b/>
        <sz val="10"/>
        <color theme="1"/>
        <rFont val="宋体"/>
        <charset val="134"/>
      </rPr>
      <t>（</t>
    </r>
    <r>
      <rPr>
        <b/>
        <sz val="10"/>
        <color theme="1"/>
        <rFont val="Arial Narrow"/>
        <charset val="134"/>
      </rPr>
      <t>1+2+3</t>
    </r>
    <r>
      <rPr>
        <b/>
        <sz val="10"/>
        <color theme="1"/>
        <rFont val="宋体"/>
        <charset val="134"/>
      </rPr>
      <t>）</t>
    </r>
  </si>
  <si>
    <r>
      <rPr>
        <b/>
        <sz val="10"/>
        <rFont val="宋体"/>
        <charset val="134"/>
      </rPr>
      <t>海关业务基础设施</t>
    </r>
  </si>
  <si>
    <r>
      <rPr>
        <sz val="10"/>
        <color indexed="8"/>
        <rFont val="Arial Narrow"/>
        <charset val="134"/>
      </rPr>
      <t>2#</t>
    </r>
    <r>
      <rPr>
        <sz val="10"/>
        <color indexed="8"/>
        <rFont val="宋体"/>
        <charset val="134"/>
      </rPr>
      <t>国际货站</t>
    </r>
  </si>
  <si>
    <r>
      <rPr>
        <sz val="10"/>
        <rFont val="宋体-简"/>
        <charset val="134"/>
      </rPr>
      <t>㎡</t>
    </r>
  </si>
  <si>
    <r>
      <rPr>
        <sz val="10"/>
        <color indexed="8"/>
        <rFont val="宋体"/>
        <charset val="134"/>
      </rPr>
      <t>场平</t>
    </r>
  </si>
  <si>
    <r>
      <rPr>
        <sz val="10"/>
        <color indexed="8"/>
        <rFont val="宋体"/>
        <charset val="134"/>
      </rPr>
      <t>地基处理</t>
    </r>
  </si>
  <si>
    <r>
      <rPr>
        <sz val="10"/>
        <color indexed="8"/>
        <rFont val="宋体"/>
        <charset val="134"/>
      </rPr>
      <t>基础工程</t>
    </r>
  </si>
  <si>
    <r>
      <rPr>
        <sz val="10"/>
        <color indexed="8"/>
        <rFont val="宋体"/>
        <charset val="134"/>
      </rPr>
      <t>土建工程</t>
    </r>
  </si>
  <si>
    <r>
      <rPr>
        <sz val="10"/>
        <color indexed="8"/>
        <rFont val="宋体"/>
        <charset val="134"/>
      </rPr>
      <t>装饰装修工程</t>
    </r>
  </si>
  <si>
    <r>
      <rPr>
        <sz val="10"/>
        <color indexed="8"/>
        <rFont val="宋体"/>
        <charset val="134"/>
      </rPr>
      <t>给排水工程</t>
    </r>
  </si>
  <si>
    <r>
      <rPr>
        <sz val="10"/>
        <color indexed="8"/>
        <rFont val="宋体"/>
        <charset val="134"/>
      </rPr>
      <t>暖通工程</t>
    </r>
  </si>
  <si>
    <r>
      <rPr>
        <sz val="10"/>
        <color indexed="8"/>
        <rFont val="宋体"/>
        <charset val="134"/>
      </rPr>
      <t>电气工程</t>
    </r>
  </si>
  <si>
    <t>4.1.2.1</t>
  </si>
  <si>
    <t>后期弱电工程</t>
  </si>
  <si>
    <r>
      <rPr>
        <sz val="10"/>
        <color indexed="8"/>
        <rFont val="宋体"/>
        <charset val="134"/>
      </rPr>
      <t>电梯工程</t>
    </r>
  </si>
  <si>
    <r>
      <rPr>
        <sz val="10"/>
        <rFont val="宋体-简"/>
        <charset val="134"/>
      </rPr>
      <t>部</t>
    </r>
  </si>
  <si>
    <r>
      <rPr>
        <sz val="10"/>
        <color indexed="8"/>
        <rFont val="宋体"/>
        <charset val="134"/>
      </rPr>
      <t>抗震支架</t>
    </r>
  </si>
  <si>
    <r>
      <rPr>
        <sz val="10"/>
        <color indexed="8"/>
        <rFont val="宋体"/>
        <charset val="134"/>
      </rPr>
      <t>标识标牌</t>
    </r>
  </si>
  <si>
    <r>
      <rPr>
        <sz val="10"/>
        <color indexed="8"/>
        <rFont val="Arial Narrow"/>
        <charset val="134"/>
      </rPr>
      <t>3#</t>
    </r>
    <r>
      <rPr>
        <sz val="10"/>
        <color indexed="8"/>
        <rFont val="宋体"/>
        <charset val="134"/>
      </rPr>
      <t>国际货站</t>
    </r>
  </si>
  <si>
    <t>4.1.2.2</t>
  </si>
  <si>
    <r>
      <rPr>
        <sz val="10"/>
        <color indexed="8"/>
        <rFont val="Arial Narrow"/>
        <charset val="134"/>
      </rPr>
      <t>4#</t>
    </r>
    <r>
      <rPr>
        <sz val="10"/>
        <color indexed="8"/>
        <rFont val="宋体"/>
        <charset val="134"/>
      </rPr>
      <t>国际快件中心</t>
    </r>
  </si>
  <si>
    <t>4.1.2.3</t>
  </si>
  <si>
    <t>1.5</t>
  </si>
  <si>
    <r>
      <rPr>
        <sz val="10"/>
        <color indexed="8"/>
        <rFont val="Arial Narrow"/>
        <charset val="134"/>
      </rPr>
      <t>2#</t>
    </r>
    <r>
      <rPr>
        <sz val="10"/>
        <color indexed="8"/>
        <rFont val="宋体"/>
        <charset val="134"/>
      </rPr>
      <t>海关卡口</t>
    </r>
  </si>
  <si>
    <t>4.1.2.4</t>
  </si>
  <si>
    <r>
      <rPr>
        <sz val="10"/>
        <color indexed="8"/>
        <rFont val="Arial Narrow"/>
        <charset val="134"/>
      </rPr>
      <t>4#</t>
    </r>
    <r>
      <rPr>
        <sz val="10"/>
        <color indexed="8"/>
        <rFont val="宋体"/>
        <charset val="134"/>
      </rPr>
      <t>海关卡口</t>
    </r>
  </si>
  <si>
    <t>4.1.2.5</t>
  </si>
  <si>
    <r>
      <rPr>
        <sz val="10"/>
        <color indexed="8"/>
        <rFont val="宋体"/>
        <charset val="134"/>
      </rPr>
      <t>海关围网</t>
    </r>
  </si>
  <si>
    <r>
      <rPr>
        <sz val="10"/>
        <rFont val="宋体-简"/>
        <charset val="134"/>
      </rPr>
      <t>延米</t>
    </r>
  </si>
  <si>
    <r>
      <rPr>
        <sz val="10"/>
        <rFont val="Arial Narrow"/>
        <charset val="134"/>
      </rPr>
      <t>52.82t/</t>
    </r>
    <r>
      <rPr>
        <sz val="10"/>
        <rFont val="Times New Roman"/>
        <charset val="134"/>
      </rPr>
      <t>年</t>
    </r>
  </si>
  <si>
    <r>
      <rPr>
        <b/>
        <sz val="10"/>
        <rFont val="宋体"/>
        <charset val="134"/>
      </rPr>
      <t>保税仓储和加工</t>
    </r>
  </si>
  <si>
    <r>
      <rPr>
        <sz val="10"/>
        <color indexed="8"/>
        <rFont val="Arial Narrow"/>
        <charset val="134"/>
      </rPr>
      <t>8#</t>
    </r>
    <r>
      <rPr>
        <sz val="10"/>
        <color indexed="8"/>
        <rFont val="宋体"/>
        <charset val="134"/>
      </rPr>
      <t>保税加工中心</t>
    </r>
  </si>
  <si>
    <t>4.1.2.7</t>
  </si>
  <si>
    <r>
      <rPr>
        <sz val="10"/>
        <color indexed="8"/>
        <rFont val="Arial Narrow"/>
        <charset val="134"/>
      </rPr>
      <t>9#</t>
    </r>
    <r>
      <rPr>
        <sz val="10"/>
        <color indexed="8"/>
        <rFont val="宋体"/>
        <charset val="134"/>
      </rPr>
      <t>保税加工中心</t>
    </r>
  </si>
  <si>
    <r>
      <rPr>
        <sz val="10"/>
        <rFont val="Times New Roman"/>
        <charset val="134"/>
      </rPr>
      <t>租金</t>
    </r>
  </si>
  <si>
    <t>4.1.2.8</t>
  </si>
  <si>
    <t>2.3</t>
  </si>
  <si>
    <r>
      <rPr>
        <sz val="10"/>
        <color indexed="8"/>
        <rFont val="Arial Narrow"/>
        <charset val="134"/>
      </rPr>
      <t>10#</t>
    </r>
    <r>
      <rPr>
        <sz val="10"/>
        <color indexed="8"/>
        <rFont val="宋体"/>
        <charset val="134"/>
      </rPr>
      <t>危险品库区</t>
    </r>
  </si>
  <si>
    <r>
      <rPr>
        <sz val="10"/>
        <rFont val="宋体"/>
        <charset val="134"/>
      </rPr>
      <t>万个</t>
    </r>
  </si>
  <si>
    <t>4.1.2.9</t>
  </si>
  <si>
    <t>2.4</t>
  </si>
  <si>
    <r>
      <rPr>
        <sz val="10"/>
        <color indexed="8"/>
        <rFont val="Arial Narrow"/>
        <charset val="134"/>
      </rPr>
      <t>11#</t>
    </r>
    <r>
      <rPr>
        <sz val="10"/>
        <color indexed="8"/>
        <rFont val="宋体"/>
        <charset val="134"/>
      </rPr>
      <t>保税物流中心</t>
    </r>
  </si>
  <si>
    <r>
      <rPr>
        <sz val="10"/>
        <rFont val="Times New Roman"/>
        <charset val="134"/>
      </rPr>
      <t>保管</t>
    </r>
  </si>
  <si>
    <r>
      <rPr>
        <sz val="10"/>
        <rFont val="宋体"/>
        <charset val="134"/>
      </rPr>
      <t>万元</t>
    </r>
  </si>
  <si>
    <t>2.5</t>
  </si>
  <si>
    <r>
      <rPr>
        <sz val="10"/>
        <color indexed="8"/>
        <rFont val="Arial Narrow"/>
        <charset val="134"/>
      </rPr>
      <t>12#</t>
    </r>
    <r>
      <rPr>
        <sz val="10"/>
        <color indexed="8"/>
        <rFont val="宋体"/>
        <charset val="134"/>
      </rPr>
      <t>保税物流中心</t>
    </r>
  </si>
  <si>
    <t>2.6</t>
  </si>
  <si>
    <r>
      <rPr>
        <sz val="10"/>
        <color indexed="8"/>
        <rFont val="Arial Narrow"/>
        <charset val="134"/>
      </rPr>
      <t>13#</t>
    </r>
    <r>
      <rPr>
        <sz val="10"/>
        <color indexed="8"/>
        <rFont val="宋体"/>
        <charset val="134"/>
      </rPr>
      <t>保税物流中心</t>
    </r>
  </si>
  <si>
    <t>2.7</t>
  </si>
  <si>
    <r>
      <rPr>
        <sz val="10"/>
        <color indexed="8"/>
        <rFont val="Arial Narrow"/>
        <charset val="134"/>
      </rPr>
      <t>14#</t>
    </r>
    <r>
      <rPr>
        <sz val="10"/>
        <color indexed="8"/>
        <rFont val="宋体"/>
        <charset val="134"/>
      </rPr>
      <t>保税物流中心</t>
    </r>
  </si>
  <si>
    <t>2.8</t>
  </si>
  <si>
    <r>
      <rPr>
        <sz val="10"/>
        <color indexed="8"/>
        <rFont val="Arial Narrow"/>
        <charset val="134"/>
      </rPr>
      <t>15#</t>
    </r>
    <r>
      <rPr>
        <sz val="10"/>
        <color indexed="8"/>
        <rFont val="宋体"/>
        <charset val="134"/>
      </rPr>
      <t>保税物流中心</t>
    </r>
  </si>
  <si>
    <t>2.9</t>
  </si>
  <si>
    <r>
      <rPr>
        <sz val="10"/>
        <color indexed="8"/>
        <rFont val="Arial Narrow"/>
        <charset val="134"/>
      </rPr>
      <t>16#</t>
    </r>
    <r>
      <rPr>
        <sz val="10"/>
        <color indexed="8"/>
        <rFont val="宋体"/>
        <charset val="134"/>
      </rPr>
      <t>保税物流中心</t>
    </r>
  </si>
  <si>
    <t>2.10</t>
  </si>
  <si>
    <r>
      <rPr>
        <sz val="10"/>
        <color indexed="8"/>
        <rFont val="Arial Narrow"/>
        <charset val="134"/>
      </rPr>
      <t>17#</t>
    </r>
    <r>
      <rPr>
        <sz val="10"/>
        <color indexed="8"/>
        <rFont val="宋体"/>
        <charset val="134"/>
      </rPr>
      <t>保税物流中心</t>
    </r>
  </si>
  <si>
    <t>2.11</t>
  </si>
  <si>
    <r>
      <rPr>
        <sz val="10"/>
        <color indexed="8"/>
        <rFont val="Arial Narrow"/>
        <charset val="134"/>
      </rPr>
      <t>18#</t>
    </r>
    <r>
      <rPr>
        <sz val="10"/>
        <color indexed="8"/>
        <rFont val="宋体"/>
        <charset val="134"/>
      </rPr>
      <t>保税物流中心</t>
    </r>
  </si>
  <si>
    <r>
      <rPr>
        <b/>
        <sz val="10"/>
        <rFont val="宋体"/>
        <charset val="134"/>
      </rPr>
      <t>贸易和货运服务设施</t>
    </r>
  </si>
  <si>
    <t>3.1</t>
  </si>
  <si>
    <r>
      <rPr>
        <sz val="10"/>
        <color indexed="8"/>
        <rFont val="Arial Narrow"/>
        <charset val="134"/>
      </rPr>
      <t>19#</t>
    </r>
    <r>
      <rPr>
        <sz val="10"/>
        <color indexed="8"/>
        <rFont val="宋体"/>
        <charset val="134"/>
      </rPr>
      <t>综合配套中心</t>
    </r>
  </si>
  <si>
    <r>
      <rPr>
        <sz val="10"/>
        <color indexed="8"/>
        <rFont val="宋体"/>
        <charset val="134"/>
      </rPr>
      <t>地上</t>
    </r>
  </si>
  <si>
    <r>
      <rPr>
        <sz val="10"/>
        <color indexed="8"/>
        <rFont val="宋体"/>
        <charset val="134"/>
      </rPr>
      <t>地下</t>
    </r>
  </si>
  <si>
    <r>
      <rPr>
        <sz val="10"/>
        <color indexed="8"/>
        <rFont val="宋体"/>
        <charset val="134"/>
      </rPr>
      <t>人防工程</t>
    </r>
  </si>
  <si>
    <r>
      <rPr>
        <sz val="10"/>
        <color indexed="8"/>
        <rFont val="Arial Narrow"/>
        <charset val="134"/>
      </rPr>
      <t>21#</t>
    </r>
    <r>
      <rPr>
        <sz val="10"/>
        <color indexed="8"/>
        <rFont val="宋体"/>
        <charset val="134"/>
      </rPr>
      <t>商贸物流大楼</t>
    </r>
  </si>
  <si>
    <r>
      <rPr>
        <b/>
        <sz val="10"/>
        <rFont val="宋体"/>
        <charset val="134"/>
      </rPr>
      <t>信息化与相关设备</t>
    </r>
  </si>
  <si>
    <r>
      <rPr>
        <sz val="10"/>
        <color indexed="8"/>
        <rFont val="宋体"/>
        <charset val="134"/>
      </rPr>
      <t>弱电工程</t>
    </r>
  </si>
  <si>
    <r>
      <rPr>
        <sz val="10"/>
        <color indexed="8"/>
        <rFont val="宋体"/>
        <charset val="134"/>
      </rPr>
      <t>后期弱电工程</t>
    </r>
  </si>
  <si>
    <t>4.1.2.21</t>
  </si>
  <si>
    <r>
      <rPr>
        <sz val="10"/>
        <color rgb="FFFF0000"/>
        <rFont val="宋体"/>
        <charset val="134"/>
      </rPr>
      <t>室外工程</t>
    </r>
  </si>
  <si>
    <r>
      <rPr>
        <sz val="10"/>
        <color rgb="FFFF0000"/>
        <rFont val="宋体-简"/>
        <charset val="134"/>
      </rPr>
      <t>㎡</t>
    </r>
  </si>
  <si>
    <t>未知(询问设计院无回应，不纳入采购计划)</t>
  </si>
  <si>
    <r>
      <rPr>
        <sz val="10"/>
        <color indexed="8"/>
        <rFont val="宋体"/>
        <charset val="134"/>
      </rPr>
      <t>工艺设备</t>
    </r>
  </si>
  <si>
    <t>见后表</t>
  </si>
  <si>
    <t>4.2.2</t>
  </si>
  <si>
    <r>
      <rPr>
        <sz val="10"/>
        <color indexed="8"/>
        <rFont val="宋体"/>
        <charset val="134"/>
      </rPr>
      <t>后期</t>
    </r>
  </si>
  <si>
    <r>
      <rPr>
        <b/>
        <sz val="10"/>
        <rFont val="宋体"/>
        <charset val="134"/>
      </rPr>
      <t>配套设施</t>
    </r>
  </si>
  <si>
    <t>5.1</t>
  </si>
  <si>
    <r>
      <rPr>
        <sz val="10"/>
        <color indexed="8"/>
        <rFont val="Arial Narrow"/>
        <charset val="134"/>
      </rPr>
      <t>1#</t>
    </r>
    <r>
      <rPr>
        <sz val="10"/>
        <color indexed="8"/>
        <rFont val="宋体"/>
        <charset val="134"/>
      </rPr>
      <t>高架联络桥</t>
    </r>
  </si>
  <si>
    <r>
      <rPr>
        <sz val="10"/>
        <color indexed="8"/>
        <rFont val="宋体"/>
        <charset val="134"/>
      </rPr>
      <t>路基工程</t>
    </r>
  </si>
  <si>
    <r>
      <rPr>
        <sz val="10"/>
        <color indexed="8"/>
        <rFont val="宋体"/>
        <charset val="134"/>
      </rPr>
      <t>桥梁工程</t>
    </r>
  </si>
  <si>
    <r>
      <rPr>
        <sz val="10"/>
        <color indexed="8"/>
        <rFont val="宋体"/>
        <charset val="134"/>
      </rPr>
      <t>照明工程</t>
    </r>
  </si>
  <si>
    <r>
      <rPr>
        <sz val="10"/>
        <color indexed="8"/>
        <rFont val="Arial Narrow"/>
        <charset val="134"/>
      </rPr>
      <t>2#</t>
    </r>
    <r>
      <rPr>
        <sz val="10"/>
        <color indexed="8"/>
        <rFont val="宋体"/>
        <charset val="134"/>
      </rPr>
      <t>预留高架联络桥</t>
    </r>
  </si>
  <si>
    <r>
      <rPr>
        <sz val="10"/>
        <color indexed="8"/>
        <rFont val="Arial Narrow"/>
        <charset val="134"/>
      </rPr>
      <t>3#</t>
    </r>
    <r>
      <rPr>
        <sz val="10"/>
        <color indexed="8"/>
        <rFont val="宋体"/>
        <charset val="134"/>
      </rPr>
      <t>平交联络桥</t>
    </r>
  </si>
  <si>
    <r>
      <rPr>
        <sz val="10"/>
        <color indexed="8"/>
        <rFont val="Arial Narrow"/>
        <charset val="134"/>
      </rPr>
      <t>4#</t>
    </r>
    <r>
      <rPr>
        <sz val="10"/>
        <color indexed="8"/>
        <rFont val="宋体"/>
        <charset val="134"/>
      </rPr>
      <t>高架桥</t>
    </r>
  </si>
  <si>
    <r>
      <rPr>
        <sz val="10"/>
        <color indexed="8"/>
        <rFont val="Arial Narrow"/>
        <charset val="134"/>
      </rPr>
      <t>22#</t>
    </r>
    <r>
      <rPr>
        <sz val="10"/>
        <color indexed="8"/>
        <rFont val="宋体"/>
        <charset val="134"/>
      </rPr>
      <t>道口</t>
    </r>
  </si>
  <si>
    <r>
      <rPr>
        <sz val="10"/>
        <color indexed="8"/>
        <rFont val="宋体"/>
        <charset val="134"/>
      </rPr>
      <t>道路、场坪、绿化等</t>
    </r>
  </si>
  <si>
    <r>
      <rPr>
        <sz val="10"/>
        <color indexed="8"/>
        <rFont val="宋体"/>
        <charset val="134"/>
      </rPr>
      <t>二期</t>
    </r>
  </si>
  <si>
    <r>
      <rPr>
        <sz val="10"/>
        <color indexed="8"/>
        <rFont val="宋体"/>
        <charset val="134"/>
      </rPr>
      <t>道路工程</t>
    </r>
  </si>
  <si>
    <r>
      <rPr>
        <sz val="10"/>
        <color indexed="8"/>
        <rFont val="宋体"/>
        <charset val="134"/>
      </rPr>
      <t>路面工程</t>
    </r>
  </si>
  <si>
    <t>5.6.2.2</t>
  </si>
  <si>
    <r>
      <rPr>
        <sz val="10"/>
        <color indexed="8"/>
        <rFont val="宋体"/>
        <charset val="134"/>
      </rPr>
      <t>场坪工程</t>
    </r>
  </si>
  <si>
    <t>5.6.2.2.1</t>
  </si>
  <si>
    <t>5.6.2.2.2</t>
  </si>
  <si>
    <r>
      <rPr>
        <sz val="10"/>
        <color indexed="8"/>
        <rFont val="宋体"/>
        <charset val="134"/>
      </rPr>
      <t>室外给排水工程</t>
    </r>
  </si>
  <si>
    <r>
      <rPr>
        <sz val="10"/>
        <color indexed="8"/>
        <rFont val="宋体"/>
        <charset val="134"/>
      </rPr>
      <t>室外电气工程</t>
    </r>
  </si>
  <si>
    <t>5.6.1.2</t>
  </si>
  <si>
    <r>
      <rPr>
        <sz val="10"/>
        <color indexed="8"/>
        <rFont val="宋体"/>
        <charset val="134"/>
      </rPr>
      <t>绿化工程</t>
    </r>
  </si>
  <si>
    <t>6</t>
  </si>
  <si>
    <r>
      <rPr>
        <sz val="10"/>
        <color indexed="8"/>
        <rFont val="宋体"/>
        <charset val="134"/>
      </rPr>
      <t>能力建设</t>
    </r>
  </si>
  <si>
    <t>7</t>
  </si>
  <si>
    <r>
      <rPr>
        <sz val="10"/>
        <color indexed="8"/>
        <rFont val="宋体"/>
        <charset val="134"/>
      </rPr>
      <t>专题研究</t>
    </r>
  </si>
  <si>
    <r>
      <rPr>
        <b/>
        <sz val="10"/>
        <rFont val="宋体"/>
        <charset val="134"/>
      </rPr>
      <t>二</t>
    </r>
  </si>
  <si>
    <r>
      <rPr>
        <b/>
        <sz val="10"/>
        <rFont val="宋体"/>
        <charset val="134"/>
      </rPr>
      <t>工程建设其他费</t>
    </r>
  </si>
  <si>
    <r>
      <rPr>
        <sz val="10"/>
        <color indexed="8"/>
        <rFont val="宋体"/>
        <charset val="134"/>
      </rPr>
      <t>土地费用</t>
    </r>
  </si>
  <si>
    <r>
      <rPr>
        <sz val="10"/>
        <color indexed="8"/>
        <rFont val="宋体"/>
        <charset val="134"/>
      </rPr>
      <t>土地使用费</t>
    </r>
  </si>
  <si>
    <r>
      <rPr>
        <sz val="10"/>
        <rFont val="Segoe UI Symbol"/>
        <charset val="134"/>
      </rPr>
      <t>亩</t>
    </r>
  </si>
  <si>
    <r>
      <rPr>
        <sz val="10"/>
        <color indexed="8"/>
        <rFont val="宋体"/>
        <charset val="134"/>
      </rPr>
      <t>土地拆迁费</t>
    </r>
  </si>
  <si>
    <r>
      <rPr>
        <sz val="10"/>
        <rFont val="宋体"/>
        <charset val="134"/>
      </rPr>
      <t>建设单位管理费</t>
    </r>
  </si>
  <si>
    <r>
      <rPr>
        <sz val="10"/>
        <color theme="1"/>
        <rFont val="Times New Roman"/>
        <charset val="134"/>
      </rPr>
      <t>参照财建</t>
    </r>
    <r>
      <rPr>
        <sz val="10"/>
        <color theme="1"/>
        <rFont val="Arial Narrow"/>
        <charset val="134"/>
      </rPr>
      <t>[2016]504</t>
    </r>
    <r>
      <rPr>
        <sz val="10"/>
        <color theme="1"/>
        <rFont val="Times New Roman"/>
        <charset val="134"/>
      </rPr>
      <t>号</t>
    </r>
  </si>
  <si>
    <r>
      <rPr>
        <sz val="10"/>
        <rFont val="宋体"/>
        <charset val="134"/>
      </rPr>
      <t>工程建设监理费</t>
    </r>
  </si>
  <si>
    <r>
      <rPr>
        <sz val="10"/>
        <color theme="1"/>
        <rFont val="Times New Roman"/>
        <charset val="134"/>
      </rPr>
      <t>参照发改价格</t>
    </r>
    <r>
      <rPr>
        <sz val="10"/>
        <color theme="1"/>
        <rFont val="Arial Narrow"/>
        <charset val="134"/>
      </rPr>
      <t>[2007]670</t>
    </r>
    <r>
      <rPr>
        <sz val="10"/>
        <color theme="1"/>
        <rFont val="Times New Roman"/>
        <charset val="134"/>
      </rPr>
      <t>号</t>
    </r>
  </si>
  <si>
    <r>
      <rPr>
        <sz val="10"/>
        <rFont val="宋体"/>
        <charset val="134"/>
      </rPr>
      <t>建设项目前期咨询费用</t>
    </r>
  </si>
  <si>
    <r>
      <rPr>
        <sz val="10"/>
        <rFont val="宋体"/>
        <charset val="134"/>
      </rPr>
      <t>可研报告及资金申请报告编制</t>
    </r>
  </si>
  <si>
    <r>
      <rPr>
        <sz val="10"/>
        <color theme="1"/>
        <rFont val="宋体"/>
        <charset val="134"/>
      </rPr>
      <t>参照计价格</t>
    </r>
    <r>
      <rPr>
        <sz val="10"/>
        <color theme="1"/>
        <rFont val="Arial Narrow"/>
        <charset val="134"/>
      </rPr>
      <t>[1999]1283</t>
    </r>
    <r>
      <rPr>
        <sz val="10"/>
        <color theme="1"/>
        <rFont val="宋体"/>
        <charset val="134"/>
      </rPr>
      <t>号</t>
    </r>
  </si>
  <si>
    <r>
      <rPr>
        <sz val="10"/>
        <rFont val="宋体"/>
        <charset val="134"/>
      </rPr>
      <t>水土保持相关费用</t>
    </r>
  </si>
  <si>
    <r>
      <rPr>
        <sz val="10"/>
        <color theme="1"/>
        <rFont val="Times New Roman"/>
        <charset val="134"/>
      </rPr>
      <t>参照水利部保监</t>
    </r>
    <r>
      <rPr>
        <sz val="10"/>
        <color theme="1"/>
        <rFont val="Arial Narrow"/>
        <charset val="134"/>
      </rPr>
      <t>[2005]22</t>
    </r>
    <r>
      <rPr>
        <sz val="10"/>
        <color theme="1"/>
        <rFont val="Times New Roman"/>
        <charset val="134"/>
      </rPr>
      <t>号</t>
    </r>
  </si>
  <si>
    <r>
      <rPr>
        <sz val="10"/>
        <rFont val="宋体"/>
        <charset val="134"/>
      </rPr>
      <t>水土保持方案编制费</t>
    </r>
  </si>
  <si>
    <r>
      <rPr>
        <sz val="10"/>
        <color theme="1"/>
        <rFont val="SimSun"/>
        <charset val="134"/>
      </rPr>
      <t>参照水利部保监</t>
    </r>
    <r>
      <rPr>
        <sz val="10"/>
        <color theme="1"/>
        <rFont val="Arial Narrow"/>
        <charset val="134"/>
      </rPr>
      <t>[2005]22</t>
    </r>
    <r>
      <rPr>
        <sz val="10"/>
        <color theme="1"/>
        <rFont val="SimSun"/>
        <charset val="134"/>
      </rPr>
      <t>号</t>
    </r>
  </si>
  <si>
    <r>
      <rPr>
        <sz val="10"/>
        <rFont val="宋体"/>
        <charset val="134"/>
      </rPr>
      <t>水土保持监测费</t>
    </r>
  </si>
  <si>
    <r>
      <rPr>
        <sz val="10"/>
        <rFont val="宋体"/>
        <charset val="134"/>
      </rPr>
      <t>水土保持设施竣工验收技术评估报告编制费</t>
    </r>
  </si>
  <si>
    <r>
      <rPr>
        <sz val="10"/>
        <rFont val="宋体"/>
        <charset val="134"/>
      </rPr>
      <t>水土保持补偿费</t>
    </r>
  </si>
  <si>
    <r>
      <rPr>
        <b/>
        <sz val="10"/>
        <rFont val="宋体-简"/>
        <charset val="134"/>
      </rPr>
      <t>㎡</t>
    </r>
  </si>
  <si>
    <r>
      <rPr>
        <sz val="10"/>
        <color theme="1"/>
        <rFont val="Times New Roman"/>
        <charset val="134"/>
      </rPr>
      <t>鄂价环资</t>
    </r>
    <r>
      <rPr>
        <sz val="10"/>
        <color theme="1"/>
        <rFont val="Arial Narrow"/>
        <charset val="134"/>
      </rPr>
      <t>[2017]93</t>
    </r>
    <r>
      <rPr>
        <sz val="10"/>
        <color theme="1"/>
        <rFont val="Times New Roman"/>
        <charset val="134"/>
      </rPr>
      <t>号</t>
    </r>
  </si>
  <si>
    <t>1.33*100*10000</t>
  </si>
  <si>
    <r>
      <rPr>
        <sz val="10"/>
        <rFont val="宋体"/>
        <charset val="134"/>
      </rPr>
      <t>勘察设计费</t>
    </r>
  </si>
  <si>
    <r>
      <rPr>
        <sz val="10"/>
        <rFont val="宋体"/>
        <charset val="134"/>
      </rPr>
      <t>工程勘察费</t>
    </r>
  </si>
  <si>
    <r>
      <rPr>
        <sz val="10"/>
        <color theme="1"/>
        <rFont val="SimSun"/>
        <charset val="134"/>
      </rPr>
      <t>参照计价格</t>
    </r>
    <r>
      <rPr>
        <sz val="10"/>
        <color theme="1"/>
        <rFont val="Arial Narrow"/>
        <charset val="134"/>
      </rPr>
      <t>[2002]10</t>
    </r>
    <r>
      <rPr>
        <sz val="10"/>
        <color theme="1"/>
        <rFont val="SimSun"/>
        <charset val="134"/>
      </rPr>
      <t>号</t>
    </r>
  </si>
  <si>
    <r>
      <rPr>
        <sz val="10"/>
        <rFont val="宋体"/>
        <charset val="134"/>
      </rPr>
      <t>工程设计费</t>
    </r>
  </si>
  <si>
    <r>
      <rPr>
        <sz val="10"/>
        <color theme="1"/>
        <rFont val="Times New Roman"/>
        <charset val="134"/>
      </rPr>
      <t>参照计价格</t>
    </r>
    <r>
      <rPr>
        <sz val="10"/>
        <color theme="1"/>
        <rFont val="Arial Narrow"/>
        <charset val="134"/>
      </rPr>
      <t>[2002]10</t>
    </r>
    <r>
      <rPr>
        <sz val="10"/>
        <color theme="1"/>
        <rFont val="Times New Roman"/>
        <charset val="134"/>
      </rPr>
      <t>号</t>
    </r>
  </si>
  <si>
    <r>
      <rPr>
        <sz val="10"/>
        <rFont val="宋体"/>
        <charset val="134"/>
      </rPr>
      <t>施工图预算编制费</t>
    </r>
  </si>
  <si>
    <r>
      <rPr>
        <sz val="10"/>
        <rFont val="宋体"/>
        <charset val="134"/>
      </rPr>
      <t>竣工图编制费</t>
    </r>
  </si>
  <si>
    <r>
      <rPr>
        <sz val="10"/>
        <color theme="1"/>
        <rFont val="SimSun"/>
        <charset val="134"/>
      </rPr>
      <t>参照鄂价工服规</t>
    </r>
    <r>
      <rPr>
        <sz val="10"/>
        <color theme="1"/>
        <rFont val="Arial Narrow"/>
        <charset val="134"/>
      </rPr>
      <t>[2012]149</t>
    </r>
    <r>
      <rPr>
        <sz val="10"/>
        <color theme="1"/>
        <rFont val="SimSun"/>
        <charset val="134"/>
      </rPr>
      <t>号</t>
    </r>
  </si>
  <si>
    <r>
      <rPr>
        <sz val="10"/>
        <rFont val="宋体"/>
        <charset val="134"/>
      </rPr>
      <t>工程量清单编制</t>
    </r>
  </si>
  <si>
    <r>
      <rPr>
        <sz val="10"/>
        <rFont val="宋体"/>
        <charset val="134"/>
      </rPr>
      <t>控制价编制</t>
    </r>
  </si>
  <si>
    <r>
      <rPr>
        <sz val="10"/>
        <rFont val="宋体"/>
        <charset val="134"/>
      </rPr>
      <t>竣工决算审核</t>
    </r>
  </si>
  <si>
    <r>
      <rPr>
        <sz val="10"/>
        <rFont val="宋体"/>
        <charset val="134"/>
      </rPr>
      <t>场地准备及临时设施费</t>
    </r>
  </si>
  <si>
    <r>
      <rPr>
        <sz val="10"/>
        <color theme="1"/>
        <rFont val="SimSun"/>
        <charset val="134"/>
      </rPr>
      <t>工程费用</t>
    </r>
    <r>
      <rPr>
        <sz val="10"/>
        <color theme="1"/>
        <rFont val="Arial Narrow"/>
        <charset val="134"/>
      </rPr>
      <t>1%</t>
    </r>
  </si>
  <si>
    <r>
      <rPr>
        <sz val="10"/>
        <rFont val="宋体"/>
        <charset val="134"/>
      </rPr>
      <t>工程保险费</t>
    </r>
  </si>
  <si>
    <r>
      <rPr>
        <sz val="10"/>
        <color theme="1"/>
        <rFont val="Times New Roman"/>
        <charset val="134"/>
      </rPr>
      <t>工程费用</t>
    </r>
    <r>
      <rPr>
        <sz val="10"/>
        <color theme="1"/>
        <rFont val="Arial Narrow"/>
        <charset val="134"/>
      </rPr>
      <t>0.5%</t>
    </r>
  </si>
  <si>
    <r>
      <rPr>
        <sz val="10"/>
        <rFont val="宋体"/>
        <charset val="134"/>
      </rPr>
      <t>招标代理服务费</t>
    </r>
  </si>
  <si>
    <r>
      <rPr>
        <sz val="10"/>
        <color theme="1"/>
        <rFont val="SimSun"/>
        <charset val="134"/>
      </rPr>
      <t>参照计价格</t>
    </r>
    <r>
      <rPr>
        <sz val="10"/>
        <color theme="1"/>
        <rFont val="Arial Narrow"/>
        <charset val="134"/>
      </rPr>
      <t>[2002]1980</t>
    </r>
    <r>
      <rPr>
        <sz val="10"/>
        <color theme="1"/>
        <rFont val="SimSun"/>
        <charset val="134"/>
      </rPr>
      <t>号</t>
    </r>
  </si>
  <si>
    <r>
      <rPr>
        <sz val="10"/>
        <rFont val="宋体"/>
        <charset val="134"/>
      </rPr>
      <t>工程招标</t>
    </r>
  </si>
  <si>
    <r>
      <rPr>
        <sz val="10"/>
        <rFont val="宋体"/>
        <charset val="134"/>
      </rPr>
      <t>服务招标</t>
    </r>
  </si>
  <si>
    <r>
      <rPr>
        <sz val="10"/>
        <rFont val="宋体"/>
        <charset val="134"/>
      </rPr>
      <t>设计招标</t>
    </r>
  </si>
  <si>
    <r>
      <rPr>
        <sz val="10"/>
        <rFont val="宋体"/>
        <charset val="134"/>
      </rPr>
      <t>勘察招标</t>
    </r>
  </si>
  <si>
    <r>
      <rPr>
        <sz val="10"/>
        <rFont val="宋体"/>
        <charset val="134"/>
      </rPr>
      <t>监理招标</t>
    </r>
  </si>
  <si>
    <r>
      <rPr>
        <sz val="10"/>
        <rFont val="宋体"/>
        <charset val="134"/>
      </rPr>
      <t>环境影响咨询服务费</t>
    </r>
  </si>
  <si>
    <r>
      <rPr>
        <sz val="10"/>
        <rFont val="宋体"/>
        <charset val="134"/>
      </rPr>
      <t>社会稳定性风险评估</t>
    </r>
  </si>
  <si>
    <r>
      <rPr>
        <sz val="10"/>
        <rFont val="宋体"/>
        <charset val="134"/>
      </rPr>
      <t>节能报告评估</t>
    </r>
  </si>
  <si>
    <r>
      <rPr>
        <sz val="10"/>
        <rFont val="宋体"/>
        <charset val="134"/>
      </rPr>
      <t>建筑垃圾服务费</t>
    </r>
  </si>
  <si>
    <r>
      <rPr>
        <sz val="10"/>
        <rFont val="宋体"/>
        <charset val="134"/>
      </rPr>
      <t>地质灾害危害性评估</t>
    </r>
  </si>
  <si>
    <r>
      <rPr>
        <sz val="10"/>
        <rFont val="宋体"/>
        <charset val="134"/>
      </rPr>
      <t>交通影响评价费</t>
    </r>
  </si>
  <si>
    <r>
      <rPr>
        <sz val="10"/>
        <rFont val="宋体"/>
        <charset val="134"/>
      </rPr>
      <t>高可靠性供电费</t>
    </r>
  </si>
  <si>
    <r>
      <rPr>
        <b/>
        <sz val="10"/>
        <rFont val="宋体"/>
        <charset val="134"/>
      </rPr>
      <t>三</t>
    </r>
  </si>
  <si>
    <r>
      <rPr>
        <b/>
        <sz val="10"/>
        <rFont val="宋体"/>
        <charset val="134"/>
      </rPr>
      <t>预备费</t>
    </r>
  </si>
  <si>
    <r>
      <rPr>
        <b/>
        <sz val="10"/>
        <rFont val="宋体"/>
        <charset val="134"/>
      </rPr>
      <t>四</t>
    </r>
  </si>
  <si>
    <r>
      <rPr>
        <b/>
        <sz val="10"/>
        <rFont val="宋体"/>
        <charset val="134"/>
      </rPr>
      <t>专项费用</t>
    </r>
  </si>
  <si>
    <r>
      <rPr>
        <sz val="10"/>
        <color indexed="8"/>
        <rFont val="宋体"/>
        <charset val="134"/>
      </rPr>
      <t>亩</t>
    </r>
  </si>
  <si>
    <r>
      <rPr>
        <sz val="10"/>
        <color indexed="8"/>
        <rFont val="宋体"/>
        <charset val="134"/>
      </rPr>
      <t>外电报装</t>
    </r>
  </si>
  <si>
    <r>
      <rPr>
        <sz val="10"/>
        <color indexed="8"/>
        <rFont val="宋体"/>
        <charset val="134"/>
      </rPr>
      <t>外水报装</t>
    </r>
  </si>
  <si>
    <r>
      <rPr>
        <sz val="10"/>
        <color indexed="8"/>
        <rFont val="宋体"/>
        <charset val="134"/>
      </rPr>
      <t>燃气报装</t>
    </r>
  </si>
  <si>
    <r>
      <rPr>
        <b/>
        <sz val="10"/>
        <rFont val="宋体-简"/>
        <charset val="134"/>
      </rPr>
      <t>五</t>
    </r>
  </si>
  <si>
    <r>
      <rPr>
        <b/>
        <sz val="10"/>
        <rFont val="宋体"/>
        <charset val="134"/>
      </rPr>
      <t>建设投资</t>
    </r>
  </si>
  <si>
    <r>
      <rPr>
        <sz val="10"/>
        <color theme="1"/>
        <rFont val="宋体"/>
        <charset val="134"/>
      </rPr>
      <t>（一</t>
    </r>
    <r>
      <rPr>
        <sz val="10"/>
        <color theme="1"/>
        <rFont val="Arial Narrow"/>
        <charset val="134"/>
      </rPr>
      <t>+</t>
    </r>
    <r>
      <rPr>
        <sz val="10"/>
        <color theme="1"/>
        <rFont val="宋体"/>
        <charset val="134"/>
      </rPr>
      <t>二</t>
    </r>
    <r>
      <rPr>
        <sz val="10"/>
        <color theme="1"/>
        <rFont val="Arial Narrow"/>
        <charset val="134"/>
      </rPr>
      <t>+</t>
    </r>
    <r>
      <rPr>
        <sz val="10"/>
        <color theme="1"/>
        <rFont val="宋体"/>
        <charset val="134"/>
      </rPr>
      <t>三）</t>
    </r>
  </si>
  <si>
    <r>
      <rPr>
        <b/>
        <sz val="10"/>
        <rFont val="宋体"/>
        <charset val="134"/>
      </rPr>
      <t>六</t>
    </r>
  </si>
  <si>
    <r>
      <rPr>
        <b/>
        <sz val="10"/>
        <rFont val="宋体"/>
        <charset val="134"/>
      </rPr>
      <t>建设期利息及贷款费用</t>
    </r>
  </si>
  <si>
    <r>
      <rPr>
        <sz val="10"/>
        <color indexed="8"/>
        <rFont val="宋体"/>
        <charset val="134"/>
      </rPr>
      <t>建设期利息</t>
    </r>
  </si>
  <si>
    <r>
      <rPr>
        <sz val="10"/>
        <color indexed="8"/>
        <rFont val="宋体"/>
        <charset val="134"/>
      </rPr>
      <t>先征费（</t>
    </r>
    <r>
      <rPr>
        <sz val="10"/>
        <color indexed="8"/>
        <rFont val="Arial Narrow"/>
        <charset val="134"/>
      </rPr>
      <t>0.25%</t>
    </r>
    <r>
      <rPr>
        <sz val="10"/>
        <color indexed="8"/>
        <rFont val="宋体"/>
        <charset val="134"/>
      </rPr>
      <t>）</t>
    </r>
  </si>
  <si>
    <r>
      <rPr>
        <sz val="10"/>
        <color indexed="8"/>
        <rFont val="宋体"/>
        <charset val="134"/>
      </rPr>
      <t>承诺费（</t>
    </r>
    <r>
      <rPr>
        <sz val="10"/>
        <color indexed="8"/>
        <rFont val="Arial Narrow"/>
        <charset val="134"/>
      </rPr>
      <t>0.25%</t>
    </r>
    <r>
      <rPr>
        <sz val="10"/>
        <color indexed="8"/>
        <rFont val="宋体"/>
        <charset val="134"/>
      </rPr>
      <t>）</t>
    </r>
  </si>
  <si>
    <r>
      <rPr>
        <b/>
        <sz val="10"/>
        <rFont val="宋体"/>
        <charset val="134"/>
      </rPr>
      <t>七</t>
    </r>
  </si>
  <si>
    <r>
      <rPr>
        <b/>
        <sz val="10"/>
        <rFont val="宋体"/>
        <charset val="134"/>
      </rPr>
      <t>流动资金</t>
    </r>
  </si>
  <si>
    <r>
      <rPr>
        <b/>
        <sz val="10"/>
        <rFont val="宋体"/>
        <charset val="134"/>
      </rPr>
      <t>八</t>
    </r>
  </si>
  <si>
    <r>
      <rPr>
        <b/>
        <sz val="10"/>
        <rFont val="宋体"/>
        <charset val="134"/>
      </rPr>
      <t>总投资</t>
    </r>
  </si>
  <si>
    <r>
      <rPr>
        <sz val="10"/>
        <color theme="1"/>
        <rFont val="Times New Roman"/>
        <charset val="134"/>
      </rPr>
      <t>（四</t>
    </r>
    <r>
      <rPr>
        <sz val="10"/>
        <color theme="1"/>
        <rFont val="Arial Narrow"/>
        <charset val="134"/>
      </rPr>
      <t>+</t>
    </r>
    <r>
      <rPr>
        <sz val="10"/>
        <color theme="1"/>
        <rFont val="Times New Roman"/>
        <charset val="134"/>
      </rPr>
      <t>五</t>
    </r>
    <r>
      <rPr>
        <sz val="10"/>
        <color theme="1"/>
        <rFont val="Arial Narrow"/>
        <charset val="134"/>
      </rPr>
      <t>+</t>
    </r>
    <r>
      <rPr>
        <sz val="10"/>
        <color theme="1"/>
        <rFont val="Times New Roman"/>
        <charset val="134"/>
      </rPr>
      <t>六</t>
    </r>
    <r>
      <rPr>
        <sz val="10"/>
        <color theme="1"/>
        <rFont val="Arial Narrow"/>
        <charset val="134"/>
      </rPr>
      <t>+</t>
    </r>
    <r>
      <rPr>
        <sz val="10"/>
        <color theme="1"/>
        <rFont val="Times New Roman"/>
        <charset val="134"/>
      </rPr>
      <t>七）</t>
    </r>
  </si>
  <si>
    <r>
      <rPr>
        <b/>
        <sz val="10"/>
        <rFont val="仿宋_GB2312"/>
        <charset val="134"/>
      </rPr>
      <t>序号</t>
    </r>
  </si>
  <si>
    <r>
      <rPr>
        <b/>
        <sz val="10"/>
        <rFont val="仿宋_GB2312"/>
        <charset val="134"/>
      </rPr>
      <t>名称</t>
    </r>
  </si>
  <si>
    <r>
      <rPr>
        <b/>
        <sz val="10"/>
        <rFont val="仿宋_GB2312"/>
        <charset val="134"/>
      </rPr>
      <t>费用（万元）</t>
    </r>
  </si>
  <si>
    <r>
      <rPr>
        <b/>
        <sz val="10"/>
        <rFont val="仿宋_GB2312"/>
        <charset val="134"/>
      </rPr>
      <t>占总投资比列（</t>
    </r>
    <r>
      <rPr>
        <b/>
        <sz val="10"/>
        <rFont val="Arial Narrow"/>
        <charset val="134"/>
      </rPr>
      <t>%</t>
    </r>
    <r>
      <rPr>
        <b/>
        <sz val="10"/>
        <rFont val="仿宋_GB2312"/>
        <charset val="134"/>
      </rPr>
      <t>）</t>
    </r>
  </si>
  <si>
    <r>
      <rPr>
        <sz val="10"/>
        <rFont val="仿宋_GB2312"/>
        <charset val="134"/>
      </rPr>
      <t>一</t>
    </r>
  </si>
  <si>
    <r>
      <rPr>
        <sz val="10"/>
        <rFont val="仿宋_GB2312"/>
        <charset val="134"/>
      </rPr>
      <t>建设投资</t>
    </r>
  </si>
  <si>
    <r>
      <rPr>
        <sz val="10"/>
        <rFont val="仿宋_GB2312"/>
        <charset val="134"/>
      </rPr>
      <t>工程费用</t>
    </r>
  </si>
  <si>
    <r>
      <rPr>
        <sz val="10"/>
        <rFont val="仿宋_GB2312"/>
        <charset val="134"/>
      </rPr>
      <t>工程建设其他费用</t>
    </r>
  </si>
  <si>
    <r>
      <rPr>
        <sz val="10"/>
        <rFont val="仿宋_GB2312"/>
        <charset val="134"/>
      </rPr>
      <t>预备费</t>
    </r>
  </si>
  <si>
    <r>
      <rPr>
        <sz val="10"/>
        <rFont val="仿宋_GB2312"/>
        <charset val="134"/>
      </rPr>
      <t>专项费用</t>
    </r>
  </si>
  <si>
    <r>
      <rPr>
        <sz val="10"/>
        <rFont val="仿宋_GB2312"/>
        <charset val="134"/>
      </rPr>
      <t>二</t>
    </r>
  </si>
  <si>
    <r>
      <rPr>
        <sz val="10"/>
        <rFont val="仿宋_GB2312"/>
        <charset val="134"/>
      </rPr>
      <t>三</t>
    </r>
  </si>
  <si>
    <r>
      <rPr>
        <sz val="10"/>
        <rFont val="仿宋_GB2312"/>
        <charset val="134"/>
      </rPr>
      <t>流动资金</t>
    </r>
  </si>
  <si>
    <r>
      <rPr>
        <sz val="10"/>
        <rFont val="仿宋_GB2312"/>
        <charset val="134"/>
      </rPr>
      <t>四</t>
    </r>
  </si>
  <si>
    <r>
      <rPr>
        <sz val="10"/>
        <rFont val="仿宋_GB2312"/>
        <charset val="134"/>
      </rPr>
      <t>总投资</t>
    </r>
  </si>
  <si>
    <t>1#国际货站工艺设备投资--摘自初步设计概算批复</t>
  </si>
  <si>
    <t>项目</t>
  </si>
  <si>
    <t>概算</t>
  </si>
  <si>
    <t>单位</t>
  </si>
  <si>
    <t>说明</t>
  </si>
  <si>
    <t>总工艺设备投资</t>
  </si>
  <si>
    <t>万元</t>
  </si>
  <si>
    <t>航空集装器CT安检系统</t>
  </si>
  <si>
    <t>含软件系统</t>
  </si>
  <si>
    <t>民航专业工程设备投资</t>
  </si>
  <si>
    <t>货物安检及人员安检通道设备及分层管理系统，不含前后端输送设备</t>
  </si>
  <si>
    <t>主要运行设备及海关设备</t>
  </si>
  <si>
    <t>调平台、输送机、地秤、升降打板台、移动打板台、核辐射通道等</t>
  </si>
  <si>
    <t>货站内的车辆、可移动设备等</t>
  </si>
  <si>
    <t>叉车、牵引车、集装板车、拖斗、货架等</t>
  </si>
  <si>
    <t>1#国际货站设施规模：站房面积约15150平米、建筑面积22650平米。</t>
  </si>
  <si>
    <t>2.2亿工艺设备投资为业主负责数据。本次设备估算以初步设计概算为基础进行估算</t>
  </si>
  <si>
    <t>2#国际货站工艺设备投资</t>
  </si>
  <si>
    <t>站房面积约15100平米，按1#国际货站站房面积折算2#国际货站工艺设备投资</t>
  </si>
  <si>
    <t>3#国际货站工艺设备投资</t>
  </si>
  <si>
    <t>站房面积约15100平米，按1#国际货站站房面积折算3#国际货站工艺设备投资</t>
  </si>
  <si>
    <t>8#~9#、11#~14#海关监管库、15~18#保税仓库</t>
  </si>
  <si>
    <t>海关监管库、保税仓库仅考虑土建相关设备，如调平台（叉车考虑由运营商自行提供）。按开面长度估算调平台数量及投资</t>
  </si>
  <si>
    <t>(注：此部分内容不清晰，未纳入采购计划)</t>
  </si>
  <si>
    <t>快件中心工艺设备</t>
  </si>
  <si>
    <r>
      <rPr>
        <b/>
        <sz val="9"/>
        <color indexed="8"/>
        <rFont val="宋体"/>
        <charset val="134"/>
      </rPr>
      <t>总投资估算表（扣除先期启动）</t>
    </r>
  </si>
  <si>
    <r>
      <rPr>
        <b/>
        <sz val="9"/>
        <color rgb="FF000000"/>
        <rFont val="宋体"/>
        <charset val="134"/>
      </rPr>
      <t>序号</t>
    </r>
    <r>
      <rPr>
        <b/>
        <sz val="9"/>
        <color rgb="FF000000"/>
        <rFont val="Arial Narrow"/>
        <charset val="134"/>
      </rPr>
      <t xml:space="preserve"> </t>
    </r>
  </si>
  <si>
    <r>
      <rPr>
        <b/>
        <sz val="9"/>
        <color rgb="FF000000"/>
        <rFont val="宋体"/>
        <charset val="134"/>
      </rPr>
      <t>工程和费用名称</t>
    </r>
  </si>
  <si>
    <r>
      <rPr>
        <b/>
        <sz val="9"/>
        <color rgb="FF000000"/>
        <rFont val="宋体"/>
        <charset val="134"/>
      </rPr>
      <t>估算价值</t>
    </r>
    <r>
      <rPr>
        <b/>
        <sz val="9"/>
        <color rgb="FF000000"/>
        <rFont val="Arial Narrow"/>
        <charset val="134"/>
      </rPr>
      <t>(</t>
    </r>
    <r>
      <rPr>
        <b/>
        <sz val="9"/>
        <color rgb="FF000000"/>
        <rFont val="宋体"/>
        <charset val="134"/>
      </rPr>
      <t>万元</t>
    </r>
    <r>
      <rPr>
        <b/>
        <sz val="9"/>
        <color rgb="FF000000"/>
        <rFont val="Arial Narrow"/>
        <charset val="134"/>
      </rPr>
      <t>)</t>
    </r>
  </si>
  <si>
    <r>
      <rPr>
        <sz val="9"/>
        <color rgb="FF000000"/>
        <rFont val="宋体"/>
        <charset val="134"/>
      </rPr>
      <t>技术经济指标</t>
    </r>
  </si>
  <si>
    <r>
      <rPr>
        <b/>
        <sz val="9"/>
        <color rgb="FF000000"/>
        <rFont val="宋体"/>
        <charset val="134"/>
      </rPr>
      <t>备</t>
    </r>
    <r>
      <rPr>
        <b/>
        <sz val="9"/>
        <color rgb="FF000000"/>
        <rFont val="Arial Narrow"/>
        <charset val="134"/>
      </rPr>
      <t xml:space="preserve"> </t>
    </r>
    <r>
      <rPr>
        <b/>
        <sz val="9"/>
        <color rgb="FF000000"/>
        <rFont val="宋体"/>
        <charset val="134"/>
      </rPr>
      <t>注</t>
    </r>
  </si>
  <si>
    <r>
      <rPr>
        <b/>
        <sz val="9"/>
        <color rgb="FF000000"/>
        <rFont val="宋体"/>
        <charset val="134"/>
      </rPr>
      <t>比例</t>
    </r>
  </si>
  <si>
    <r>
      <rPr>
        <b/>
        <sz val="9"/>
        <rFont val="宋体"/>
        <charset val="134"/>
      </rPr>
      <t>合同
签订日期</t>
    </r>
  </si>
  <si>
    <r>
      <rPr>
        <b/>
        <sz val="9"/>
        <rFont val="宋体"/>
        <charset val="134"/>
      </rPr>
      <t>合同
月数</t>
    </r>
  </si>
  <si>
    <r>
      <rPr>
        <b/>
        <sz val="9"/>
        <color rgb="FF000000"/>
        <rFont val="宋体"/>
        <charset val="134"/>
      </rPr>
      <t>建筑工程</t>
    </r>
  </si>
  <si>
    <t>设备及安装
工程费</t>
  </si>
  <si>
    <r>
      <rPr>
        <b/>
        <sz val="9"/>
        <color rgb="FF000000"/>
        <rFont val="宋体"/>
        <charset val="134"/>
      </rPr>
      <t>其他费用</t>
    </r>
  </si>
  <si>
    <r>
      <rPr>
        <b/>
        <sz val="9"/>
        <color rgb="FF000000"/>
        <rFont val="宋体"/>
        <charset val="134"/>
      </rPr>
      <t>合</t>
    </r>
    <r>
      <rPr>
        <b/>
        <sz val="9"/>
        <color rgb="FF000000"/>
        <rFont val="Arial Narrow"/>
        <charset val="134"/>
      </rPr>
      <t xml:space="preserve">  </t>
    </r>
    <r>
      <rPr>
        <b/>
        <sz val="9"/>
        <color rgb="FF000000"/>
        <rFont val="宋体"/>
        <charset val="134"/>
      </rPr>
      <t>计</t>
    </r>
  </si>
  <si>
    <r>
      <rPr>
        <b/>
        <sz val="9"/>
        <color rgb="FF000000"/>
        <rFont val="宋体"/>
        <charset val="134"/>
      </rPr>
      <t>室内面积或数量</t>
    </r>
  </si>
  <si>
    <r>
      <rPr>
        <b/>
        <sz val="9"/>
        <color rgb="FF000000"/>
        <rFont val="宋体"/>
        <charset val="134"/>
      </rPr>
      <t>（万元）</t>
    </r>
  </si>
  <si>
    <t>合同号</t>
  </si>
  <si>
    <r>
      <rPr>
        <b/>
        <sz val="9"/>
        <color rgb="FF000000"/>
        <rFont val="宋体"/>
        <charset val="134"/>
      </rPr>
      <t>一</t>
    </r>
  </si>
  <si>
    <r>
      <rPr>
        <b/>
        <sz val="9"/>
        <color rgb="FF000000"/>
        <rFont val="宋体"/>
        <charset val="134"/>
      </rPr>
      <t>工程费用</t>
    </r>
  </si>
  <si>
    <r>
      <rPr>
        <b/>
        <sz val="9"/>
        <color rgb="FF000000"/>
        <rFont val="宋体"/>
        <charset val="134"/>
      </rPr>
      <t>（</t>
    </r>
    <r>
      <rPr>
        <b/>
        <sz val="9"/>
        <color rgb="FF000000"/>
        <rFont val="Arial Narrow"/>
        <charset val="134"/>
      </rPr>
      <t>1+2+3</t>
    </r>
    <r>
      <rPr>
        <b/>
        <sz val="9"/>
        <color rgb="FF000000"/>
        <rFont val="宋体"/>
        <charset val="134"/>
      </rPr>
      <t>）</t>
    </r>
  </si>
  <si>
    <r>
      <rPr>
        <b/>
        <sz val="9"/>
        <color rgb="FF000000"/>
        <rFont val="宋体"/>
        <charset val="134"/>
      </rPr>
      <t>海关业务基础设施</t>
    </r>
  </si>
  <si>
    <r>
      <rPr>
        <sz val="9"/>
        <color rgb="FF000000"/>
        <rFont val="Arial Narrow"/>
        <charset val="134"/>
      </rPr>
      <t>2#</t>
    </r>
    <r>
      <rPr>
        <sz val="9"/>
        <color rgb="FF000000"/>
        <rFont val="宋体"/>
        <charset val="134"/>
      </rPr>
      <t>国际货站</t>
    </r>
  </si>
  <si>
    <r>
      <rPr>
        <sz val="9"/>
        <color rgb="FF000000"/>
        <rFont val="宋体"/>
        <charset val="134"/>
      </rPr>
      <t>㎡</t>
    </r>
  </si>
  <si>
    <t>CW01</t>
  </si>
  <si>
    <t>18</t>
  </si>
  <si>
    <r>
      <rPr>
        <sz val="9"/>
        <color rgb="FF000000"/>
        <rFont val="宋体"/>
        <charset val="134"/>
      </rPr>
      <t>地基处理</t>
    </r>
  </si>
  <si>
    <r>
      <rPr>
        <sz val="9"/>
        <color rgb="FF000000"/>
        <rFont val="宋体"/>
        <charset val="134"/>
      </rPr>
      <t>基础工程</t>
    </r>
  </si>
  <si>
    <r>
      <rPr>
        <sz val="9"/>
        <color rgb="FF000000"/>
        <rFont val="宋体"/>
        <charset val="134"/>
      </rPr>
      <t>土建工程</t>
    </r>
  </si>
  <si>
    <r>
      <rPr>
        <sz val="9"/>
        <color rgb="FF000000"/>
        <rFont val="宋体"/>
        <charset val="134"/>
      </rPr>
      <t>装饰装修工程</t>
    </r>
  </si>
  <si>
    <r>
      <rPr>
        <sz val="9"/>
        <color rgb="FF000000"/>
        <rFont val="宋体"/>
        <charset val="134"/>
      </rPr>
      <t>给排水工程</t>
    </r>
  </si>
  <si>
    <r>
      <rPr>
        <sz val="9"/>
        <color rgb="FF000000"/>
        <rFont val="宋体"/>
        <charset val="134"/>
      </rPr>
      <t>暖通工程</t>
    </r>
  </si>
  <si>
    <r>
      <rPr>
        <sz val="9"/>
        <color rgb="FF000000"/>
        <rFont val="宋体"/>
        <charset val="134"/>
      </rPr>
      <t>电气工程</t>
    </r>
  </si>
  <si>
    <r>
      <rPr>
        <sz val="9"/>
        <color rgb="FF000000"/>
        <rFont val="宋体"/>
        <charset val="134"/>
      </rPr>
      <t>电梯工程</t>
    </r>
  </si>
  <si>
    <r>
      <rPr>
        <sz val="9"/>
        <color rgb="FF000000"/>
        <rFont val="宋体"/>
        <charset val="134"/>
      </rPr>
      <t>部</t>
    </r>
  </si>
  <si>
    <r>
      <rPr>
        <sz val="9"/>
        <color rgb="FF000000"/>
        <rFont val="宋体"/>
        <charset val="134"/>
      </rPr>
      <t>抗震支架</t>
    </r>
  </si>
  <si>
    <r>
      <rPr>
        <sz val="9"/>
        <color rgb="FF000000"/>
        <rFont val="宋体"/>
        <charset val="134"/>
      </rPr>
      <t>标识标牌</t>
    </r>
  </si>
  <si>
    <r>
      <rPr>
        <sz val="9"/>
        <color rgb="FF000000"/>
        <rFont val="Arial Narrow"/>
        <charset val="134"/>
      </rPr>
      <t>3#</t>
    </r>
    <r>
      <rPr>
        <sz val="9"/>
        <color rgb="FF000000"/>
        <rFont val="宋体"/>
        <charset val="134"/>
      </rPr>
      <t>国际货站</t>
    </r>
  </si>
  <si>
    <r>
      <rPr>
        <sz val="9"/>
        <color indexed="8"/>
        <rFont val="Arial Narrow"/>
        <charset val="134"/>
      </rPr>
      <t>2#+3#</t>
    </r>
    <r>
      <rPr>
        <sz val="9"/>
        <color rgb="FF000000"/>
        <rFont val="宋体"/>
        <charset val="134"/>
      </rPr>
      <t>国际货站</t>
    </r>
  </si>
  <si>
    <t>CW02</t>
  </si>
  <si>
    <r>
      <rPr>
        <sz val="9"/>
        <color rgb="FF000000"/>
        <rFont val="Arial Narrow"/>
        <charset val="134"/>
      </rPr>
      <t>4#</t>
    </r>
    <r>
      <rPr>
        <sz val="9"/>
        <color rgb="FF000000"/>
        <rFont val="宋体"/>
        <charset val="134"/>
      </rPr>
      <t>国际快件中心</t>
    </r>
  </si>
  <si>
    <t>CW03</t>
  </si>
  <si>
    <t>1.10</t>
  </si>
  <si>
    <r>
      <rPr>
        <sz val="9"/>
        <color rgb="FF000000"/>
        <rFont val="Arial Narrow"/>
        <charset val="134"/>
      </rPr>
      <t>2#</t>
    </r>
    <r>
      <rPr>
        <sz val="9"/>
        <color rgb="FF000000"/>
        <rFont val="宋体"/>
        <charset val="134"/>
      </rPr>
      <t>海关卡口</t>
    </r>
  </si>
  <si>
    <t>1.10.1</t>
  </si>
  <si>
    <t>1.10.2</t>
  </si>
  <si>
    <t>1.10.3</t>
  </si>
  <si>
    <t>1.10.4</t>
  </si>
  <si>
    <t>1.10.5</t>
  </si>
  <si>
    <t>1.10.6</t>
  </si>
  <si>
    <t>1.10.7</t>
  </si>
  <si>
    <r>
      <rPr>
        <sz val="9"/>
        <color rgb="FF000000"/>
        <rFont val="Arial Narrow"/>
        <charset val="134"/>
      </rPr>
      <t>4#</t>
    </r>
    <r>
      <rPr>
        <sz val="9"/>
        <color rgb="FF000000"/>
        <rFont val="宋体"/>
        <charset val="134"/>
      </rPr>
      <t>海关卡口</t>
    </r>
  </si>
  <si>
    <t>1.12.1</t>
  </si>
  <si>
    <t>1.12.2</t>
  </si>
  <si>
    <t>1.12.3</t>
  </si>
  <si>
    <t>1.12.4</t>
  </si>
  <si>
    <t>1.12.5</t>
  </si>
  <si>
    <t>1.12.6</t>
  </si>
  <si>
    <t>1.12.7</t>
  </si>
  <si>
    <r>
      <rPr>
        <sz val="9"/>
        <color rgb="FF000000"/>
        <rFont val="宋体"/>
        <charset val="134"/>
      </rPr>
      <t>海关围网</t>
    </r>
  </si>
  <si>
    <r>
      <rPr>
        <sz val="9"/>
        <color rgb="FF000000"/>
        <rFont val="宋体"/>
        <charset val="134"/>
      </rPr>
      <t>延米</t>
    </r>
  </si>
  <si>
    <r>
      <rPr>
        <b/>
        <sz val="9"/>
        <color rgb="FF000000"/>
        <rFont val="宋体"/>
        <charset val="134"/>
      </rPr>
      <t>保税仓储和加工</t>
    </r>
  </si>
  <si>
    <r>
      <rPr>
        <sz val="9"/>
        <color rgb="FF000000"/>
        <rFont val="Arial Narrow"/>
        <charset val="134"/>
      </rPr>
      <t>8#</t>
    </r>
    <r>
      <rPr>
        <sz val="9"/>
        <color rgb="FF000000"/>
        <rFont val="宋体"/>
        <charset val="134"/>
      </rPr>
      <t>保税加工中心</t>
    </r>
  </si>
  <si>
    <r>
      <rPr>
        <sz val="9"/>
        <color rgb="FF000000"/>
        <rFont val="Arial Narrow"/>
        <charset val="134"/>
      </rPr>
      <t>9#</t>
    </r>
    <r>
      <rPr>
        <sz val="9"/>
        <color rgb="FF000000"/>
        <rFont val="宋体"/>
        <charset val="134"/>
      </rPr>
      <t>保税加工中心</t>
    </r>
  </si>
  <si>
    <r>
      <rPr>
        <sz val="9"/>
        <color rgb="FF000000"/>
        <rFont val="Arial Narrow"/>
        <charset val="134"/>
      </rPr>
      <t>10#</t>
    </r>
    <r>
      <rPr>
        <sz val="9"/>
        <color rgb="FF000000"/>
        <rFont val="宋体"/>
        <charset val="134"/>
      </rPr>
      <t>危险品库区</t>
    </r>
  </si>
  <si>
    <r>
      <rPr>
        <sz val="9"/>
        <color rgb="FF000000"/>
        <rFont val="Arial Narrow"/>
        <charset val="134"/>
      </rPr>
      <t>11#</t>
    </r>
    <r>
      <rPr>
        <sz val="9"/>
        <color rgb="FF000000"/>
        <rFont val="宋体"/>
        <charset val="134"/>
      </rPr>
      <t>保税物流中心</t>
    </r>
  </si>
  <si>
    <r>
      <rPr>
        <sz val="9"/>
        <color rgb="FF000000"/>
        <rFont val="Arial Narrow"/>
        <charset val="134"/>
      </rPr>
      <t>12#</t>
    </r>
    <r>
      <rPr>
        <sz val="9"/>
        <color rgb="FF000000"/>
        <rFont val="宋体"/>
        <charset val="134"/>
      </rPr>
      <t>保税物流中心</t>
    </r>
  </si>
  <si>
    <r>
      <rPr>
        <sz val="9"/>
        <color rgb="FF000000"/>
        <rFont val="Arial Narrow"/>
        <charset val="134"/>
      </rPr>
      <t>13#</t>
    </r>
    <r>
      <rPr>
        <sz val="9"/>
        <color rgb="FF000000"/>
        <rFont val="宋体"/>
        <charset val="134"/>
      </rPr>
      <t>保税物流中心</t>
    </r>
  </si>
  <si>
    <r>
      <rPr>
        <sz val="9"/>
        <color rgb="FF000000"/>
        <rFont val="Arial Narrow"/>
        <charset val="134"/>
      </rPr>
      <t>14#</t>
    </r>
    <r>
      <rPr>
        <sz val="9"/>
        <color rgb="FF000000"/>
        <rFont val="宋体"/>
        <charset val="134"/>
      </rPr>
      <t>保税物流中心</t>
    </r>
  </si>
  <si>
    <r>
      <rPr>
        <sz val="9"/>
        <color indexed="8"/>
        <rFont val="Arial Narrow"/>
        <charset val="134"/>
      </rPr>
      <t>8#-14#(minus 10#)</t>
    </r>
    <r>
      <rPr>
        <sz val="9"/>
        <color rgb="FF000000"/>
        <rFont val="宋体"/>
        <charset val="134"/>
      </rPr>
      <t>保税物流中心</t>
    </r>
  </si>
  <si>
    <t>CW04</t>
  </si>
  <si>
    <t>24</t>
  </si>
  <si>
    <r>
      <rPr>
        <sz val="9"/>
        <color rgb="FF000000"/>
        <rFont val="Arial Narrow"/>
        <charset val="134"/>
      </rPr>
      <t>15#</t>
    </r>
    <r>
      <rPr>
        <sz val="9"/>
        <color rgb="FF000000"/>
        <rFont val="宋体"/>
        <charset val="134"/>
      </rPr>
      <t>保税物流中心</t>
    </r>
  </si>
  <si>
    <r>
      <rPr>
        <sz val="9"/>
        <color rgb="FF000000"/>
        <rFont val="Arial Narrow"/>
        <charset val="134"/>
      </rPr>
      <t>16#</t>
    </r>
    <r>
      <rPr>
        <sz val="9"/>
        <color rgb="FF000000"/>
        <rFont val="宋体"/>
        <charset val="134"/>
      </rPr>
      <t>保税物流中心</t>
    </r>
  </si>
  <si>
    <r>
      <rPr>
        <sz val="9"/>
        <color rgb="FF000000"/>
        <rFont val="Arial Narrow"/>
        <charset val="134"/>
      </rPr>
      <t>17#</t>
    </r>
    <r>
      <rPr>
        <sz val="9"/>
        <color rgb="FF000000"/>
        <rFont val="宋体"/>
        <charset val="134"/>
      </rPr>
      <t>保税物流中心</t>
    </r>
  </si>
  <si>
    <r>
      <rPr>
        <sz val="9"/>
        <color rgb="FF000000"/>
        <rFont val="Arial Narrow"/>
        <charset val="134"/>
      </rPr>
      <t>18#</t>
    </r>
    <r>
      <rPr>
        <sz val="9"/>
        <color rgb="FF000000"/>
        <rFont val="宋体"/>
        <charset val="134"/>
      </rPr>
      <t>保税物流中心</t>
    </r>
  </si>
  <si>
    <r>
      <rPr>
        <sz val="9"/>
        <color indexed="8"/>
        <rFont val="Arial Narrow"/>
        <charset val="134"/>
      </rPr>
      <t>15#+16#+17#+18#</t>
    </r>
    <r>
      <rPr>
        <sz val="9"/>
        <color rgb="FF000000"/>
        <rFont val="宋体"/>
        <charset val="134"/>
      </rPr>
      <t>保税物流中心</t>
    </r>
  </si>
  <si>
    <t>CW05</t>
  </si>
  <si>
    <r>
      <rPr>
        <b/>
        <sz val="9"/>
        <color rgb="FF000000"/>
        <rFont val="宋体"/>
        <charset val="134"/>
      </rPr>
      <t>贸易和货运服务设施</t>
    </r>
  </si>
  <si>
    <r>
      <rPr>
        <sz val="9"/>
        <color rgb="FF000000"/>
        <rFont val="Arial Narrow"/>
        <charset val="134"/>
      </rPr>
      <t>19#</t>
    </r>
    <r>
      <rPr>
        <sz val="9"/>
        <color rgb="FF000000"/>
        <rFont val="宋体"/>
        <charset val="134"/>
      </rPr>
      <t>综合配套中心</t>
    </r>
  </si>
  <si>
    <r>
      <rPr>
        <sz val="9"/>
        <color indexed="8"/>
        <rFont val="Arial Narrow"/>
        <charset val="134"/>
      </rPr>
      <t>19#</t>
    </r>
    <r>
      <rPr>
        <sz val="9"/>
        <color rgb="FF000000"/>
        <rFont val="宋体"/>
        <charset val="134"/>
      </rPr>
      <t>综合配套中心</t>
    </r>
  </si>
  <si>
    <t>CW06</t>
  </si>
  <si>
    <t>30</t>
  </si>
  <si>
    <r>
      <rPr>
        <sz val="9"/>
        <color rgb="FF000000"/>
        <rFont val="宋体"/>
        <charset val="134"/>
      </rPr>
      <t>地上</t>
    </r>
  </si>
  <si>
    <r>
      <rPr>
        <sz val="9"/>
        <color rgb="FF000000"/>
        <rFont val="宋体"/>
        <charset val="134"/>
      </rPr>
      <t>地下</t>
    </r>
  </si>
  <si>
    <r>
      <rPr>
        <sz val="9"/>
        <color rgb="FF000000"/>
        <rFont val="宋体"/>
        <charset val="134"/>
      </rPr>
      <t>人防工程</t>
    </r>
  </si>
  <si>
    <r>
      <rPr>
        <sz val="9"/>
        <color rgb="FF000000"/>
        <rFont val="Arial Narrow"/>
        <charset val="134"/>
      </rPr>
      <t>21#</t>
    </r>
    <r>
      <rPr>
        <sz val="9"/>
        <color rgb="FF000000"/>
        <rFont val="宋体"/>
        <charset val="134"/>
      </rPr>
      <t>商贸物流大楼</t>
    </r>
  </si>
  <si>
    <r>
      <rPr>
        <sz val="9"/>
        <color indexed="8"/>
        <rFont val="Arial Narrow"/>
        <charset val="134"/>
      </rPr>
      <t>20#</t>
    </r>
    <r>
      <rPr>
        <sz val="9"/>
        <color rgb="FF000000"/>
        <rFont val="宋体"/>
        <charset val="134"/>
      </rPr>
      <t>商贸物流大楼</t>
    </r>
  </si>
  <si>
    <t>CW08</t>
  </si>
  <si>
    <t>路南</t>
  </si>
  <si>
    <r>
      <rPr>
        <b/>
        <sz val="9"/>
        <color rgb="FF000000"/>
        <rFont val="宋体"/>
        <charset val="134"/>
      </rPr>
      <t>信息化与相关设备</t>
    </r>
  </si>
  <si>
    <r>
      <rPr>
        <sz val="9"/>
        <color rgb="FF000000"/>
        <rFont val="宋体"/>
        <charset val="134"/>
      </rPr>
      <t>弱电工程</t>
    </r>
  </si>
  <si>
    <r>
      <rPr>
        <sz val="9"/>
        <color rgb="FF000000"/>
        <rFont val="宋体"/>
        <charset val="134"/>
      </rPr>
      <t>后期弱电工程</t>
    </r>
  </si>
  <si>
    <t>12</t>
  </si>
  <si>
    <t>纳入主体工程</t>
  </si>
  <si>
    <t>4.1.2.10</t>
  </si>
  <si>
    <t>4.1.2.11</t>
  </si>
  <si>
    <t>4.1.2.12</t>
  </si>
  <si>
    <t>4.1.2.13</t>
  </si>
  <si>
    <t>4.1.2.14</t>
  </si>
  <si>
    <t>4.1.2.15</t>
  </si>
  <si>
    <t>4.1.2.16</t>
  </si>
  <si>
    <t>4.1.2.17</t>
  </si>
  <si>
    <t>4.1.2.19</t>
  </si>
  <si>
    <t>4.1.2.20</t>
  </si>
  <si>
    <r>
      <rPr>
        <sz val="9"/>
        <color rgb="FF000000"/>
        <rFont val="Arial Narrow"/>
        <charset val="134"/>
      </rPr>
      <t>20#</t>
    </r>
    <r>
      <rPr>
        <sz val="9"/>
        <color rgb="FF000000"/>
        <rFont val="宋体"/>
        <charset val="134"/>
      </rPr>
      <t>商贸物流大楼</t>
    </r>
  </si>
  <si>
    <r>
      <rPr>
        <sz val="9"/>
        <color rgb="FF000000"/>
        <rFont val="宋体"/>
        <charset val="134"/>
      </rPr>
      <t>室外工程</t>
    </r>
  </si>
  <si>
    <t>监控</t>
  </si>
  <si>
    <t>最新完工开始</t>
  </si>
  <si>
    <t>48</t>
  </si>
  <si>
    <r>
      <rPr>
        <sz val="9"/>
        <color rgb="FF000000"/>
        <rFont val="宋体"/>
        <charset val="134"/>
      </rPr>
      <t>工艺设备</t>
    </r>
  </si>
  <si>
    <t>工艺设备?</t>
  </si>
  <si>
    <t>GD02</t>
  </si>
  <si>
    <t>未定</t>
  </si>
  <si>
    <r>
      <rPr>
        <sz val="9"/>
        <color rgb="FF000000"/>
        <rFont val="宋体"/>
        <charset val="134"/>
      </rPr>
      <t>后期</t>
    </r>
  </si>
  <si>
    <r>
      <rPr>
        <b/>
        <sz val="9"/>
        <color rgb="FF000000"/>
        <rFont val="宋体"/>
        <charset val="134"/>
      </rPr>
      <t>配套设施</t>
    </r>
  </si>
  <si>
    <r>
      <rPr>
        <sz val="9"/>
        <color rgb="FF000000"/>
        <rFont val="Arial Narrow"/>
        <charset val="134"/>
      </rPr>
      <t>1#</t>
    </r>
    <r>
      <rPr>
        <sz val="9"/>
        <color rgb="FF000000"/>
        <rFont val="宋体"/>
        <charset val="134"/>
      </rPr>
      <t>高架联络桥</t>
    </r>
  </si>
  <si>
    <r>
      <rPr>
        <sz val="9"/>
        <color rgb="FF000000"/>
        <rFont val="宋体"/>
        <charset val="134"/>
      </rPr>
      <t>路基工程</t>
    </r>
  </si>
  <si>
    <r>
      <rPr>
        <sz val="9"/>
        <color rgb="FF000000"/>
        <rFont val="宋体"/>
        <charset val="134"/>
      </rPr>
      <t>桥梁工程</t>
    </r>
  </si>
  <si>
    <r>
      <rPr>
        <sz val="9"/>
        <color rgb="FF000000"/>
        <rFont val="宋体"/>
        <charset val="134"/>
      </rPr>
      <t>照明工程</t>
    </r>
  </si>
  <si>
    <r>
      <rPr>
        <sz val="9"/>
        <color rgb="FF000000"/>
        <rFont val="Arial Narrow"/>
        <charset val="134"/>
      </rPr>
      <t>2#</t>
    </r>
    <r>
      <rPr>
        <sz val="9"/>
        <color rgb="FF000000"/>
        <rFont val="宋体"/>
        <charset val="134"/>
      </rPr>
      <t>预留高架联络桥</t>
    </r>
  </si>
  <si>
    <r>
      <rPr>
        <sz val="9"/>
        <color rgb="FF000000"/>
        <rFont val="Arial Narrow"/>
        <charset val="134"/>
      </rPr>
      <t>3#</t>
    </r>
    <r>
      <rPr>
        <sz val="9"/>
        <color rgb="FF000000"/>
        <rFont val="宋体"/>
        <charset val="134"/>
      </rPr>
      <t>平交联络桥</t>
    </r>
  </si>
  <si>
    <r>
      <rPr>
        <sz val="9"/>
        <color rgb="FF000000"/>
        <rFont val="Arial Narrow"/>
        <charset val="134"/>
      </rPr>
      <t>4#</t>
    </r>
    <r>
      <rPr>
        <sz val="9"/>
        <color rgb="FF000000"/>
        <rFont val="宋体"/>
        <charset val="134"/>
      </rPr>
      <t>高架桥</t>
    </r>
  </si>
  <si>
    <t>1#+4#</t>
  </si>
  <si>
    <r>
      <rPr>
        <sz val="9"/>
        <color rgb="FF000000"/>
        <rFont val="Arial Narrow"/>
        <charset val="134"/>
      </rPr>
      <t>21#</t>
    </r>
    <r>
      <rPr>
        <sz val="9"/>
        <color rgb="FF000000"/>
        <rFont val="宋体"/>
        <charset val="134"/>
      </rPr>
      <t>道口</t>
    </r>
  </si>
  <si>
    <t>1#+2#+3#+4#+21#</t>
  </si>
  <si>
    <t>CW09</t>
  </si>
  <si>
    <t>道路、场坪、绿化等</t>
  </si>
  <si>
    <t>5.10.2</t>
  </si>
  <si>
    <r>
      <rPr>
        <sz val="9"/>
        <color rgb="FF000000"/>
        <rFont val="宋体"/>
        <charset val="134"/>
      </rPr>
      <t>二期</t>
    </r>
  </si>
  <si>
    <t>5.10.2.1</t>
  </si>
  <si>
    <r>
      <rPr>
        <sz val="9"/>
        <color rgb="FF000000"/>
        <rFont val="宋体"/>
        <charset val="134"/>
      </rPr>
      <t>道路工程</t>
    </r>
  </si>
  <si>
    <t>多少条、名称、长度?</t>
  </si>
  <si>
    <t>CW10</t>
  </si>
  <si>
    <t>5.10.2.1.1</t>
  </si>
  <si>
    <t>5.10.2.1.2</t>
  </si>
  <si>
    <t>5.10.2.2</t>
  </si>
  <si>
    <r>
      <rPr>
        <sz val="9"/>
        <color rgb="FF000000"/>
        <rFont val="宋体"/>
        <charset val="134"/>
      </rPr>
      <t>场坪工程</t>
    </r>
  </si>
  <si>
    <t>???</t>
  </si>
  <si>
    <t>CW11</t>
  </si>
  <si>
    <t>5.10.2.2.1</t>
  </si>
  <si>
    <t>5.10.2.2.2</t>
  </si>
  <si>
    <t>5.10.2.3</t>
  </si>
  <si>
    <r>
      <rPr>
        <sz val="9"/>
        <color rgb="FF000000"/>
        <rFont val="宋体"/>
        <charset val="134"/>
      </rPr>
      <t>绿化工程</t>
    </r>
  </si>
  <si>
    <t>CW12</t>
  </si>
  <si>
    <t>5.10.2.4</t>
  </si>
  <si>
    <r>
      <rPr>
        <sz val="9"/>
        <color rgb="FF000000"/>
        <rFont val="宋体"/>
        <charset val="134"/>
      </rPr>
      <t>室外给排水工程</t>
    </r>
  </si>
  <si>
    <t>5.10.2.5</t>
  </si>
  <si>
    <r>
      <rPr>
        <sz val="9"/>
        <color rgb="FF000000"/>
        <rFont val="宋体"/>
        <charset val="134"/>
      </rPr>
      <t>室外电气工程</t>
    </r>
  </si>
  <si>
    <r>
      <rPr>
        <sz val="9"/>
        <color rgb="FF000000"/>
        <rFont val="宋体"/>
        <charset val="134"/>
      </rPr>
      <t>建筑工人实名制</t>
    </r>
  </si>
  <si>
    <t>??</t>
  </si>
  <si>
    <r>
      <rPr>
        <sz val="9"/>
        <color rgb="FF000000"/>
        <rFont val="宋体"/>
        <charset val="134"/>
      </rPr>
      <t>智慧工地管理费</t>
    </r>
  </si>
  <si>
    <r>
      <rPr>
        <sz val="9"/>
        <color rgb="FF000000"/>
        <rFont val="宋体"/>
        <charset val="134"/>
      </rPr>
      <t>能力建设</t>
    </r>
  </si>
  <si>
    <r>
      <rPr>
        <sz val="9"/>
        <color rgb="FF000000"/>
        <rFont val="宋体"/>
        <charset val="134"/>
      </rPr>
      <t>专题研究</t>
    </r>
  </si>
  <si>
    <r>
      <rPr>
        <b/>
        <sz val="9"/>
        <color rgb="FF000000"/>
        <rFont val="宋体"/>
        <charset val="134"/>
      </rPr>
      <t>二</t>
    </r>
  </si>
  <si>
    <r>
      <rPr>
        <b/>
        <sz val="9"/>
        <color rgb="FF000000"/>
        <rFont val="宋体"/>
        <charset val="134"/>
      </rPr>
      <t>工程建设其他费</t>
    </r>
  </si>
  <si>
    <r>
      <rPr>
        <sz val="9"/>
        <color rgb="FF000000"/>
        <rFont val="宋体"/>
        <charset val="134"/>
      </rPr>
      <t>土地费用</t>
    </r>
  </si>
  <si>
    <r>
      <rPr>
        <sz val="9"/>
        <color rgb="FF000000"/>
        <rFont val="宋体"/>
        <charset val="134"/>
      </rPr>
      <t>建设单位管理费</t>
    </r>
  </si>
  <si>
    <r>
      <rPr>
        <sz val="9"/>
        <color rgb="FF000000"/>
        <rFont val="宋体"/>
        <charset val="134"/>
      </rPr>
      <t>参照财建</t>
    </r>
    <r>
      <rPr>
        <sz val="9"/>
        <color rgb="FF000000"/>
        <rFont val="Arial Narrow"/>
        <charset val="134"/>
      </rPr>
      <t>[2016]504</t>
    </r>
    <r>
      <rPr>
        <sz val="9"/>
        <color rgb="FF000000"/>
        <rFont val="宋体"/>
        <charset val="134"/>
      </rPr>
      <t>号</t>
    </r>
  </si>
  <si>
    <r>
      <rPr>
        <sz val="9"/>
        <color rgb="FFFF0000"/>
        <rFont val="宋体"/>
        <charset val="134"/>
      </rPr>
      <t>工程建设监理费</t>
    </r>
  </si>
  <si>
    <r>
      <rPr>
        <sz val="9"/>
        <color rgb="FF000000"/>
        <rFont val="宋体"/>
        <charset val="134"/>
      </rPr>
      <t>参照发改价格</t>
    </r>
    <r>
      <rPr>
        <sz val="9"/>
        <color rgb="FF000000"/>
        <rFont val="Arial Narrow"/>
        <charset val="134"/>
      </rPr>
      <t>[2007]670</t>
    </r>
    <r>
      <rPr>
        <sz val="9"/>
        <color rgb="FF000000"/>
        <rFont val="宋体"/>
        <charset val="134"/>
      </rPr>
      <t>号</t>
    </r>
  </si>
  <si>
    <r>
      <rPr>
        <sz val="9"/>
        <color rgb="FF000000"/>
        <rFont val="宋体"/>
        <charset val="134"/>
      </rPr>
      <t>建设项目前期咨询费用</t>
    </r>
  </si>
  <si>
    <r>
      <rPr>
        <sz val="9"/>
        <color rgb="FF000000"/>
        <rFont val="宋体"/>
        <charset val="134"/>
      </rPr>
      <t>可研报告及资金申请报告编制</t>
    </r>
  </si>
  <si>
    <r>
      <rPr>
        <sz val="9"/>
        <color rgb="FF000000"/>
        <rFont val="宋体"/>
        <charset val="134"/>
      </rPr>
      <t>参照计价格</t>
    </r>
    <r>
      <rPr>
        <sz val="9"/>
        <color rgb="FF000000"/>
        <rFont val="Arial Narrow"/>
        <charset val="134"/>
      </rPr>
      <t>[1999]1283</t>
    </r>
    <r>
      <rPr>
        <sz val="9"/>
        <color rgb="FF000000"/>
        <rFont val="宋体"/>
        <charset val="134"/>
      </rPr>
      <t>号</t>
    </r>
  </si>
  <si>
    <r>
      <rPr>
        <sz val="9"/>
        <color rgb="FF000000"/>
        <rFont val="宋体"/>
        <charset val="134"/>
      </rPr>
      <t>水土保持相关费用</t>
    </r>
  </si>
  <si>
    <r>
      <rPr>
        <sz val="9"/>
        <color rgb="FF000000"/>
        <rFont val="宋体"/>
        <charset val="134"/>
      </rPr>
      <t>参照水利部保监</t>
    </r>
    <r>
      <rPr>
        <sz val="9"/>
        <color rgb="FF000000"/>
        <rFont val="Arial Narrow"/>
        <charset val="134"/>
      </rPr>
      <t>[2005]22</t>
    </r>
    <r>
      <rPr>
        <sz val="9"/>
        <color rgb="FF000000"/>
        <rFont val="宋体"/>
        <charset val="134"/>
      </rPr>
      <t>号</t>
    </r>
  </si>
  <si>
    <r>
      <rPr>
        <sz val="9"/>
        <color rgb="FF000000"/>
        <rFont val="宋体"/>
        <charset val="134"/>
      </rPr>
      <t>水土保持方案编制费</t>
    </r>
  </si>
  <si>
    <r>
      <rPr>
        <sz val="9"/>
        <color rgb="FF000000"/>
        <rFont val="宋体"/>
        <charset val="134"/>
      </rPr>
      <t>水土保持监测费</t>
    </r>
  </si>
  <si>
    <r>
      <rPr>
        <sz val="9"/>
        <color rgb="FF000000"/>
        <rFont val="宋体"/>
        <charset val="134"/>
      </rPr>
      <t>水土保持设施竣工验收技术评估报告编制费</t>
    </r>
  </si>
  <si>
    <r>
      <rPr>
        <sz val="9"/>
        <color rgb="FF000000"/>
        <rFont val="宋体"/>
        <charset val="134"/>
      </rPr>
      <t>水土保持补偿费</t>
    </r>
  </si>
  <si>
    <r>
      <rPr>
        <b/>
        <sz val="9"/>
        <color rgb="FF000000"/>
        <rFont val="宋体"/>
        <charset val="134"/>
      </rPr>
      <t>㎡</t>
    </r>
  </si>
  <si>
    <r>
      <rPr>
        <sz val="9"/>
        <color rgb="FF000000"/>
        <rFont val="宋体"/>
        <charset val="134"/>
      </rPr>
      <t>鄂价环资</t>
    </r>
    <r>
      <rPr>
        <sz val="9"/>
        <color rgb="FF000000"/>
        <rFont val="Arial Narrow"/>
        <charset val="134"/>
      </rPr>
      <t>[2017]93</t>
    </r>
    <r>
      <rPr>
        <sz val="9"/>
        <color rgb="FF000000"/>
        <rFont val="宋体"/>
        <charset val="134"/>
      </rPr>
      <t>号</t>
    </r>
  </si>
  <si>
    <r>
      <rPr>
        <sz val="9"/>
        <color rgb="FF000000"/>
        <rFont val="宋体"/>
        <charset val="134"/>
      </rPr>
      <t>勘察设计费</t>
    </r>
  </si>
  <si>
    <r>
      <rPr>
        <sz val="9"/>
        <color rgb="FF000000"/>
        <rFont val="宋体"/>
        <charset val="134"/>
      </rPr>
      <t>工程勘察费</t>
    </r>
  </si>
  <si>
    <r>
      <rPr>
        <sz val="9"/>
        <color rgb="FF000000"/>
        <rFont val="宋体"/>
        <charset val="134"/>
      </rPr>
      <t>参照计价格</t>
    </r>
    <r>
      <rPr>
        <sz val="9"/>
        <color rgb="FF000000"/>
        <rFont val="Arial Narrow"/>
        <charset val="134"/>
      </rPr>
      <t>[2002]10</t>
    </r>
    <r>
      <rPr>
        <sz val="9"/>
        <color rgb="FF000000"/>
        <rFont val="宋体"/>
        <charset val="134"/>
      </rPr>
      <t>号</t>
    </r>
  </si>
  <si>
    <r>
      <rPr>
        <sz val="9"/>
        <color rgb="FF000000"/>
        <rFont val="宋体"/>
        <charset val="134"/>
      </rPr>
      <t>工程设计费</t>
    </r>
  </si>
  <si>
    <r>
      <rPr>
        <sz val="9"/>
        <color rgb="FF000000"/>
        <rFont val="宋体"/>
        <charset val="134"/>
      </rPr>
      <t>施工图预算编制费</t>
    </r>
  </si>
  <si>
    <r>
      <rPr>
        <sz val="9"/>
        <color rgb="FF000000"/>
        <rFont val="宋体"/>
        <charset val="134"/>
      </rPr>
      <t>竣工图编制费</t>
    </r>
  </si>
  <si>
    <r>
      <rPr>
        <sz val="9"/>
        <color rgb="FF000000"/>
        <rFont val="宋体"/>
        <charset val="134"/>
      </rPr>
      <t>建设工程造价咨询服务费</t>
    </r>
  </si>
  <si>
    <r>
      <rPr>
        <sz val="9"/>
        <color rgb="FF000000"/>
        <rFont val="宋体"/>
        <charset val="134"/>
      </rPr>
      <t>参照鄂价工服规</t>
    </r>
    <r>
      <rPr>
        <sz val="9"/>
        <color rgb="FF000000"/>
        <rFont val="Arial Narrow"/>
        <charset val="134"/>
      </rPr>
      <t>[2012]149</t>
    </r>
    <r>
      <rPr>
        <sz val="9"/>
        <color rgb="FF000000"/>
        <rFont val="宋体"/>
        <charset val="134"/>
      </rPr>
      <t>号</t>
    </r>
  </si>
  <si>
    <r>
      <rPr>
        <sz val="9"/>
        <color rgb="FF000000"/>
        <rFont val="宋体"/>
        <charset val="134"/>
      </rPr>
      <t>工程量清单编制</t>
    </r>
  </si>
  <si>
    <r>
      <rPr>
        <sz val="9"/>
        <color rgb="FF000000"/>
        <rFont val="宋体"/>
        <charset val="134"/>
      </rPr>
      <t>控制价编制</t>
    </r>
  </si>
  <si>
    <r>
      <rPr>
        <sz val="9"/>
        <color rgb="FF000000"/>
        <rFont val="宋体"/>
        <charset val="134"/>
      </rPr>
      <t>竣工决算审核</t>
    </r>
  </si>
  <si>
    <r>
      <rPr>
        <sz val="9"/>
        <color rgb="FF000000"/>
        <rFont val="宋体"/>
        <charset val="134"/>
      </rPr>
      <t>场地准备及临时设施费</t>
    </r>
  </si>
  <si>
    <r>
      <rPr>
        <sz val="9"/>
        <color rgb="FF000000"/>
        <rFont val="宋体"/>
        <charset val="134"/>
      </rPr>
      <t>工程费用</t>
    </r>
    <r>
      <rPr>
        <sz val="9"/>
        <color rgb="FF000000"/>
        <rFont val="Arial Narrow"/>
        <charset val="134"/>
      </rPr>
      <t>1%</t>
    </r>
  </si>
  <si>
    <r>
      <rPr>
        <sz val="9"/>
        <color rgb="FF000000"/>
        <rFont val="宋体"/>
        <charset val="134"/>
      </rPr>
      <t>工程保险费</t>
    </r>
  </si>
  <si>
    <r>
      <rPr>
        <sz val="9"/>
        <color rgb="FF000000"/>
        <rFont val="宋体"/>
        <charset val="134"/>
      </rPr>
      <t>工程费用</t>
    </r>
    <r>
      <rPr>
        <sz val="9"/>
        <color rgb="FF000000"/>
        <rFont val="Arial Narrow"/>
        <charset val="134"/>
      </rPr>
      <t>0.5%</t>
    </r>
  </si>
  <si>
    <r>
      <rPr>
        <sz val="9"/>
        <color rgb="FF000000"/>
        <rFont val="宋体"/>
        <charset val="134"/>
      </rPr>
      <t>招标代理服务费</t>
    </r>
  </si>
  <si>
    <r>
      <rPr>
        <sz val="9"/>
        <color rgb="FF000000"/>
        <rFont val="宋体"/>
        <charset val="134"/>
      </rPr>
      <t>参照计价格</t>
    </r>
    <r>
      <rPr>
        <sz val="9"/>
        <color rgb="FF000000"/>
        <rFont val="Arial Narrow"/>
        <charset val="134"/>
      </rPr>
      <t>[2002]1980</t>
    </r>
    <r>
      <rPr>
        <sz val="9"/>
        <color rgb="FF000000"/>
        <rFont val="宋体"/>
        <charset val="134"/>
      </rPr>
      <t>号</t>
    </r>
  </si>
  <si>
    <r>
      <rPr>
        <sz val="9"/>
        <color rgb="FF000000"/>
        <rFont val="宋体"/>
        <charset val="134"/>
      </rPr>
      <t>工程招标</t>
    </r>
  </si>
  <si>
    <r>
      <rPr>
        <sz val="9"/>
        <color rgb="FF000000"/>
        <rFont val="宋体"/>
        <charset val="134"/>
      </rPr>
      <t>服务招标</t>
    </r>
  </si>
  <si>
    <t>11.2.1</t>
  </si>
  <si>
    <r>
      <rPr>
        <sz val="9"/>
        <color rgb="FF000000"/>
        <rFont val="宋体"/>
        <charset val="134"/>
      </rPr>
      <t>设计招标</t>
    </r>
  </si>
  <si>
    <t>11.2.2</t>
  </si>
  <si>
    <r>
      <rPr>
        <sz val="9"/>
        <color rgb="FF000000"/>
        <rFont val="宋体"/>
        <charset val="134"/>
      </rPr>
      <t>勘察招标</t>
    </r>
  </si>
  <si>
    <t>11.2.3</t>
  </si>
  <si>
    <r>
      <rPr>
        <sz val="9"/>
        <color rgb="FF000000"/>
        <rFont val="宋体"/>
        <charset val="134"/>
      </rPr>
      <t>监理招标</t>
    </r>
  </si>
  <si>
    <r>
      <rPr>
        <sz val="9"/>
        <color rgb="FF000000"/>
        <rFont val="宋体"/>
        <charset val="134"/>
      </rPr>
      <t>环境影响咨询服务费</t>
    </r>
  </si>
  <si>
    <r>
      <rPr>
        <sz val="9"/>
        <color rgb="FF000000"/>
        <rFont val="宋体"/>
        <charset val="134"/>
      </rPr>
      <t>社会稳定性风险评估</t>
    </r>
  </si>
  <si>
    <r>
      <rPr>
        <sz val="9"/>
        <color rgb="FF000000"/>
        <rFont val="宋体"/>
        <charset val="134"/>
      </rPr>
      <t>节能报告评估</t>
    </r>
  </si>
  <si>
    <r>
      <rPr>
        <sz val="9"/>
        <color rgb="FF000000"/>
        <rFont val="宋体"/>
        <charset val="134"/>
      </rPr>
      <t>建筑垃圾服务费</t>
    </r>
  </si>
  <si>
    <r>
      <rPr>
        <sz val="9"/>
        <color rgb="FF000000"/>
        <rFont val="宋体"/>
        <charset val="134"/>
      </rPr>
      <t>地质灾害危害性评估</t>
    </r>
  </si>
  <si>
    <r>
      <rPr>
        <sz val="9"/>
        <color rgb="FF000000"/>
        <rFont val="宋体"/>
        <charset val="134"/>
      </rPr>
      <t>交通影响评价费</t>
    </r>
  </si>
  <si>
    <r>
      <rPr>
        <sz val="9"/>
        <color rgb="FF000000"/>
        <rFont val="宋体"/>
        <charset val="134"/>
      </rPr>
      <t>高可靠性供电费</t>
    </r>
  </si>
  <si>
    <r>
      <rPr>
        <sz val="9"/>
        <color rgb="FF000000"/>
        <rFont val="宋体"/>
        <charset val="134"/>
      </rPr>
      <t>第三方检测费</t>
    </r>
  </si>
  <si>
    <r>
      <rPr>
        <b/>
        <sz val="9"/>
        <color rgb="FF000000"/>
        <rFont val="宋体"/>
        <charset val="134"/>
      </rPr>
      <t>三</t>
    </r>
  </si>
  <si>
    <r>
      <rPr>
        <b/>
        <sz val="9"/>
        <color rgb="FF000000"/>
        <rFont val="宋体"/>
        <charset val="134"/>
      </rPr>
      <t>预备费</t>
    </r>
  </si>
  <si>
    <t>(1+2)×8%</t>
  </si>
  <si>
    <r>
      <rPr>
        <b/>
        <sz val="9"/>
        <color rgb="FF000000"/>
        <rFont val="宋体"/>
        <charset val="134"/>
      </rPr>
      <t>四</t>
    </r>
  </si>
  <si>
    <r>
      <rPr>
        <b/>
        <sz val="9"/>
        <color rgb="FF000000"/>
        <rFont val="宋体"/>
        <charset val="134"/>
      </rPr>
      <t>专项费用</t>
    </r>
  </si>
  <si>
    <r>
      <rPr>
        <sz val="9"/>
        <color rgb="FF000000"/>
        <rFont val="宋体"/>
        <charset val="134"/>
      </rPr>
      <t>外电报装</t>
    </r>
  </si>
  <si>
    <r>
      <rPr>
        <sz val="9"/>
        <color rgb="FF000000"/>
        <rFont val="宋体"/>
        <charset val="134"/>
      </rPr>
      <t>外水报装</t>
    </r>
  </si>
  <si>
    <r>
      <rPr>
        <sz val="9"/>
        <color rgb="FF000000"/>
        <rFont val="宋体"/>
        <charset val="134"/>
      </rPr>
      <t>燃气报装</t>
    </r>
  </si>
  <si>
    <r>
      <rPr>
        <b/>
        <sz val="9"/>
        <color rgb="FF000000"/>
        <rFont val="宋体"/>
        <charset val="134"/>
      </rPr>
      <t>五</t>
    </r>
  </si>
  <si>
    <r>
      <rPr>
        <b/>
        <sz val="9"/>
        <color rgb="FF000000"/>
        <rFont val="宋体"/>
        <charset val="134"/>
      </rPr>
      <t>建设投资</t>
    </r>
  </si>
  <si>
    <r>
      <rPr>
        <sz val="9"/>
        <color rgb="FF000000"/>
        <rFont val="宋体"/>
        <charset val="134"/>
      </rPr>
      <t>（一</t>
    </r>
    <r>
      <rPr>
        <sz val="9"/>
        <color rgb="FF000000"/>
        <rFont val="Arial Narrow"/>
        <charset val="134"/>
      </rPr>
      <t>+</t>
    </r>
    <r>
      <rPr>
        <sz val="9"/>
        <color rgb="FF000000"/>
        <rFont val="宋体"/>
        <charset val="134"/>
      </rPr>
      <t>二</t>
    </r>
    <r>
      <rPr>
        <sz val="9"/>
        <color rgb="FF000000"/>
        <rFont val="Arial Narrow"/>
        <charset val="134"/>
      </rPr>
      <t>+</t>
    </r>
    <r>
      <rPr>
        <sz val="9"/>
        <color rgb="FF000000"/>
        <rFont val="宋体"/>
        <charset val="134"/>
      </rPr>
      <t>三）</t>
    </r>
  </si>
  <si>
    <r>
      <rPr>
        <b/>
        <sz val="9"/>
        <color rgb="FF000000"/>
        <rFont val="宋体"/>
        <charset val="134"/>
      </rPr>
      <t>六</t>
    </r>
  </si>
  <si>
    <r>
      <rPr>
        <b/>
        <sz val="9"/>
        <color rgb="FF000000"/>
        <rFont val="宋体"/>
        <charset val="134"/>
      </rPr>
      <t>建设期利息及贷款费用</t>
    </r>
  </si>
  <si>
    <r>
      <rPr>
        <sz val="9"/>
        <color rgb="FF000000"/>
        <rFont val="宋体"/>
        <charset val="134"/>
      </rPr>
      <t>建设期利息</t>
    </r>
  </si>
  <si>
    <r>
      <rPr>
        <sz val="9"/>
        <color rgb="FF000000"/>
        <rFont val="宋体"/>
        <charset val="134"/>
      </rPr>
      <t>先征费（</t>
    </r>
    <r>
      <rPr>
        <sz val="9"/>
        <color rgb="FF000000"/>
        <rFont val="Arial Narrow"/>
        <charset val="134"/>
      </rPr>
      <t>0.25%</t>
    </r>
    <r>
      <rPr>
        <sz val="9"/>
        <color rgb="FF000000"/>
        <rFont val="宋体"/>
        <charset val="134"/>
      </rPr>
      <t>）</t>
    </r>
  </si>
  <si>
    <r>
      <rPr>
        <sz val="9"/>
        <color rgb="FF000000"/>
        <rFont val="宋体"/>
        <charset val="134"/>
      </rPr>
      <t>承诺费（</t>
    </r>
    <r>
      <rPr>
        <sz val="9"/>
        <color rgb="FF000000"/>
        <rFont val="Arial Narrow"/>
        <charset val="134"/>
      </rPr>
      <t>0.25%</t>
    </r>
    <r>
      <rPr>
        <sz val="9"/>
        <color rgb="FF000000"/>
        <rFont val="宋体"/>
        <charset val="134"/>
      </rPr>
      <t>）</t>
    </r>
  </si>
  <si>
    <r>
      <rPr>
        <b/>
        <sz val="9"/>
        <color rgb="FF000000"/>
        <rFont val="宋体"/>
        <charset val="134"/>
      </rPr>
      <t>七</t>
    </r>
  </si>
  <si>
    <r>
      <rPr>
        <b/>
        <sz val="9"/>
        <color rgb="FF000000"/>
        <rFont val="宋体"/>
        <charset val="134"/>
      </rPr>
      <t>流动资金</t>
    </r>
  </si>
  <si>
    <r>
      <rPr>
        <b/>
        <sz val="9"/>
        <color rgb="FF000000"/>
        <rFont val="宋体"/>
        <charset val="134"/>
      </rPr>
      <t>八</t>
    </r>
  </si>
  <si>
    <r>
      <rPr>
        <b/>
        <sz val="9"/>
        <color rgb="FF000000"/>
        <rFont val="宋体"/>
        <charset val="134"/>
      </rPr>
      <t>总投资</t>
    </r>
  </si>
  <si>
    <r>
      <rPr>
        <sz val="9"/>
        <color rgb="FF000000"/>
        <rFont val="宋体"/>
        <charset val="134"/>
      </rPr>
      <t>（四</t>
    </r>
    <r>
      <rPr>
        <sz val="9"/>
        <color rgb="FF000000"/>
        <rFont val="Arial Narrow"/>
        <charset val="134"/>
      </rPr>
      <t>+</t>
    </r>
    <r>
      <rPr>
        <sz val="9"/>
        <color rgb="FF000000"/>
        <rFont val="宋体"/>
        <charset val="134"/>
      </rPr>
      <t>五</t>
    </r>
    <r>
      <rPr>
        <sz val="9"/>
        <color rgb="FF000000"/>
        <rFont val="Arial Narrow"/>
        <charset val="134"/>
      </rPr>
      <t>+</t>
    </r>
    <r>
      <rPr>
        <sz val="9"/>
        <color rgb="FF000000"/>
        <rFont val="宋体"/>
        <charset val="134"/>
      </rPr>
      <t>六</t>
    </r>
    <r>
      <rPr>
        <sz val="9"/>
        <color rgb="FF000000"/>
        <rFont val="Arial Narrow"/>
        <charset val="134"/>
      </rPr>
      <t>+</t>
    </r>
    <r>
      <rPr>
        <sz val="9"/>
        <color rgb="FF000000"/>
        <rFont val="宋体"/>
        <charset val="134"/>
      </rPr>
      <t>七）</t>
    </r>
  </si>
  <si>
    <r>
      <rPr>
        <b/>
        <sz val="10"/>
        <color indexed="8"/>
        <rFont val="仿宋"/>
        <charset val="134"/>
      </rPr>
      <t>附表</t>
    </r>
    <r>
      <rPr>
        <b/>
        <sz val="10"/>
        <color indexed="8"/>
        <rFont val="Arial Narrow"/>
        <charset val="134"/>
      </rPr>
      <t xml:space="preserve"> 1 </t>
    </r>
    <r>
      <rPr>
        <b/>
        <sz val="10"/>
        <color indexed="8"/>
        <rFont val="仿宋"/>
        <charset val="134"/>
      </rPr>
      <t>总投资估算表（单位：万元）</t>
    </r>
  </si>
  <si>
    <r>
      <rPr>
        <b/>
        <sz val="10"/>
        <color indexed="8"/>
        <rFont val="仿宋"/>
        <charset val="134"/>
      </rPr>
      <t>估算价值</t>
    </r>
    <r>
      <rPr>
        <b/>
        <sz val="10"/>
        <color indexed="8"/>
        <rFont val="Arial Narrow"/>
        <charset val="134"/>
      </rPr>
      <t>(</t>
    </r>
    <r>
      <rPr>
        <b/>
        <sz val="10"/>
        <color indexed="8"/>
        <rFont val="仿宋"/>
        <charset val="134"/>
      </rPr>
      <t>万元</t>
    </r>
    <r>
      <rPr>
        <b/>
        <sz val="10"/>
        <color indexed="8"/>
        <rFont val="Arial Narrow"/>
        <charset val="134"/>
      </rPr>
      <t>)</t>
    </r>
  </si>
  <si>
    <r>
      <rPr>
        <sz val="10"/>
        <color indexed="8"/>
        <rFont val="仿宋"/>
        <charset val="134"/>
      </rPr>
      <t>技术经济指标</t>
    </r>
  </si>
  <si>
    <r>
      <rPr>
        <b/>
        <sz val="10"/>
        <color indexed="8"/>
        <rFont val="仿宋"/>
        <charset val="134"/>
      </rPr>
      <t>序号</t>
    </r>
  </si>
  <si>
    <r>
      <rPr>
        <b/>
        <sz val="10"/>
        <color indexed="8"/>
        <rFont val="仿宋"/>
        <charset val="134"/>
      </rPr>
      <t>工程和费用名称</t>
    </r>
  </si>
  <si>
    <r>
      <rPr>
        <b/>
        <sz val="10"/>
        <color indexed="8"/>
        <rFont val="仿宋"/>
        <charset val="134"/>
      </rPr>
      <t>建筑工程</t>
    </r>
  </si>
  <si>
    <r>
      <rPr>
        <b/>
        <sz val="10"/>
        <color indexed="8"/>
        <rFont val="仿宋"/>
        <charset val="134"/>
      </rPr>
      <t>设备及安装</t>
    </r>
  </si>
  <si>
    <r>
      <rPr>
        <b/>
        <sz val="10"/>
        <color indexed="8"/>
        <rFont val="仿宋"/>
        <charset val="134"/>
      </rPr>
      <t>其他费用</t>
    </r>
  </si>
  <si>
    <r>
      <rPr>
        <b/>
        <sz val="10"/>
        <color indexed="8"/>
        <rFont val="仿宋"/>
        <charset val="134"/>
      </rPr>
      <t>合</t>
    </r>
    <r>
      <rPr>
        <b/>
        <sz val="10"/>
        <color indexed="8"/>
        <rFont val="Arial Narrow"/>
        <charset val="134"/>
      </rPr>
      <t xml:space="preserve"> </t>
    </r>
    <r>
      <rPr>
        <b/>
        <sz val="10"/>
        <color indexed="8"/>
        <rFont val="仿宋"/>
        <charset val="134"/>
      </rPr>
      <t>计</t>
    </r>
  </si>
  <si>
    <r>
      <rPr>
        <b/>
        <sz val="10"/>
        <color indexed="8"/>
        <rFont val="仿宋"/>
        <charset val="134"/>
      </rPr>
      <t>室内面积或数</t>
    </r>
  </si>
  <si>
    <r>
      <rPr>
        <b/>
        <sz val="10"/>
        <color indexed="8"/>
        <rFont val="仿宋"/>
        <charset val="134"/>
      </rPr>
      <t>（万</t>
    </r>
  </si>
  <si>
    <r>
      <rPr>
        <b/>
        <sz val="10"/>
        <color indexed="8"/>
        <rFont val="仿宋"/>
        <charset val="134"/>
      </rPr>
      <t>备</t>
    </r>
    <r>
      <rPr>
        <b/>
        <sz val="10"/>
        <color indexed="8"/>
        <rFont val="Arial Narrow"/>
        <charset val="134"/>
      </rPr>
      <t xml:space="preserve"> </t>
    </r>
    <r>
      <rPr>
        <b/>
        <sz val="10"/>
        <color indexed="8"/>
        <rFont val="仿宋"/>
        <charset val="134"/>
      </rPr>
      <t>注</t>
    </r>
  </si>
  <si>
    <r>
      <rPr>
        <b/>
        <sz val="10"/>
        <color indexed="8"/>
        <rFont val="仿宋"/>
        <charset val="134"/>
      </rPr>
      <t>比例</t>
    </r>
  </si>
  <si>
    <r>
      <rPr>
        <b/>
        <sz val="10"/>
        <color indexed="8"/>
        <rFont val="仿宋"/>
        <charset val="134"/>
      </rPr>
      <t>工程费</t>
    </r>
  </si>
  <si>
    <r>
      <rPr>
        <b/>
        <sz val="10"/>
        <color indexed="8"/>
        <rFont val="仿宋"/>
        <charset val="134"/>
      </rPr>
      <t>量</t>
    </r>
  </si>
  <si>
    <r>
      <rPr>
        <b/>
        <sz val="10"/>
        <color indexed="8"/>
        <rFont val="仿宋"/>
        <charset val="134"/>
      </rPr>
      <t>元）</t>
    </r>
  </si>
  <si>
    <r>
      <rPr>
        <b/>
        <sz val="10"/>
        <color indexed="8"/>
        <rFont val="仿宋"/>
        <charset val="134"/>
      </rPr>
      <t>（</t>
    </r>
    <r>
      <rPr>
        <b/>
        <sz val="10"/>
        <color indexed="8"/>
        <rFont val="Arial Narrow"/>
        <charset val="134"/>
      </rPr>
      <t>1+2+3</t>
    </r>
    <r>
      <rPr>
        <b/>
        <sz val="10"/>
        <color indexed="8"/>
        <rFont val="仿宋"/>
        <charset val="134"/>
      </rPr>
      <t>）</t>
    </r>
  </si>
  <si>
    <r>
      <rPr>
        <b/>
        <sz val="10"/>
        <color indexed="8"/>
        <rFont val="仿宋"/>
        <charset val="134"/>
      </rPr>
      <t>海关业务基础设施</t>
    </r>
  </si>
  <si>
    <r>
      <rPr>
        <sz val="10"/>
        <color indexed="8"/>
        <rFont val="Arial Narrow"/>
        <charset val="134"/>
      </rPr>
      <t>2#</t>
    </r>
    <r>
      <rPr>
        <sz val="10"/>
        <color indexed="8"/>
        <rFont val="仿宋"/>
        <charset val="134"/>
      </rPr>
      <t>国际货站</t>
    </r>
  </si>
  <si>
    <r>
      <rPr>
        <sz val="10"/>
        <color indexed="8"/>
        <rFont val="仿宋"/>
        <charset val="134"/>
      </rPr>
      <t>㎡</t>
    </r>
  </si>
  <si>
    <r>
      <rPr>
        <sz val="10"/>
        <color indexed="8"/>
        <rFont val="仿宋"/>
        <charset val="134"/>
      </rPr>
      <t>地基处理</t>
    </r>
  </si>
  <si>
    <r>
      <rPr>
        <sz val="10"/>
        <color indexed="8"/>
        <rFont val="仿宋"/>
        <charset val="134"/>
      </rPr>
      <t>基础工程</t>
    </r>
  </si>
  <si>
    <r>
      <rPr>
        <sz val="10"/>
        <color indexed="8"/>
        <rFont val="仿宋"/>
        <charset val="134"/>
      </rPr>
      <t>土建工程</t>
    </r>
  </si>
  <si>
    <r>
      <rPr>
        <sz val="10"/>
        <color indexed="8"/>
        <rFont val="仿宋"/>
        <charset val="134"/>
      </rPr>
      <t>装饰装修工程</t>
    </r>
  </si>
  <si>
    <r>
      <rPr>
        <sz val="10"/>
        <color indexed="8"/>
        <rFont val="仿宋"/>
        <charset val="134"/>
      </rPr>
      <t>给排水工程</t>
    </r>
  </si>
  <si>
    <r>
      <rPr>
        <sz val="10"/>
        <color indexed="8"/>
        <rFont val="仿宋"/>
        <charset val="134"/>
      </rPr>
      <t>暖通工程</t>
    </r>
  </si>
  <si>
    <r>
      <rPr>
        <sz val="10"/>
        <color indexed="8"/>
        <rFont val="仿宋"/>
        <charset val="134"/>
      </rPr>
      <t>电气工程</t>
    </r>
  </si>
  <si>
    <r>
      <rPr>
        <sz val="10"/>
        <color indexed="8"/>
        <rFont val="仿宋"/>
        <charset val="134"/>
      </rPr>
      <t>电梯工程</t>
    </r>
  </si>
  <si>
    <r>
      <rPr>
        <sz val="10"/>
        <color indexed="8"/>
        <rFont val="仿宋"/>
        <charset val="134"/>
      </rPr>
      <t>部</t>
    </r>
  </si>
  <si>
    <r>
      <rPr>
        <sz val="10"/>
        <color indexed="8"/>
        <rFont val="仿宋"/>
        <charset val="134"/>
      </rPr>
      <t>抗震支架</t>
    </r>
  </si>
  <si>
    <r>
      <rPr>
        <sz val="10"/>
        <color indexed="8"/>
        <rFont val="仿宋"/>
        <charset val="134"/>
      </rPr>
      <t>标识标牌</t>
    </r>
  </si>
  <si>
    <r>
      <rPr>
        <sz val="10"/>
        <color indexed="8"/>
        <rFont val="Arial Narrow"/>
        <charset val="134"/>
      </rPr>
      <t>3#</t>
    </r>
    <r>
      <rPr>
        <sz val="10"/>
        <color indexed="8"/>
        <rFont val="仿宋"/>
        <charset val="134"/>
      </rPr>
      <t>国际货站</t>
    </r>
  </si>
  <si>
    <r>
      <rPr>
        <sz val="10"/>
        <color indexed="8"/>
        <rFont val="Arial Narrow"/>
        <charset val="134"/>
      </rPr>
      <t>4#</t>
    </r>
    <r>
      <rPr>
        <sz val="10"/>
        <color indexed="8"/>
        <rFont val="仿宋"/>
        <charset val="134"/>
      </rPr>
      <t>国际快件中心</t>
    </r>
  </si>
  <si>
    <r>
      <rPr>
        <sz val="10"/>
        <color indexed="8"/>
        <rFont val="Arial Narrow"/>
        <charset val="134"/>
      </rPr>
      <t>2#</t>
    </r>
    <r>
      <rPr>
        <sz val="10"/>
        <color indexed="8"/>
        <rFont val="仿宋"/>
        <charset val="134"/>
      </rPr>
      <t>海关卡口</t>
    </r>
  </si>
  <si>
    <r>
      <rPr>
        <sz val="10"/>
        <color indexed="8"/>
        <rFont val="Arial Narrow"/>
        <charset val="134"/>
      </rPr>
      <t>4#</t>
    </r>
    <r>
      <rPr>
        <sz val="10"/>
        <color indexed="8"/>
        <rFont val="仿宋"/>
        <charset val="134"/>
      </rPr>
      <t>海关卡口</t>
    </r>
  </si>
  <si>
    <r>
      <rPr>
        <sz val="10"/>
        <color indexed="8"/>
        <rFont val="仿宋"/>
        <charset val="134"/>
      </rPr>
      <t>海关围网</t>
    </r>
  </si>
  <si>
    <r>
      <rPr>
        <b/>
        <sz val="10"/>
        <color indexed="8"/>
        <rFont val="仿宋"/>
        <charset val="134"/>
      </rPr>
      <t>保税仓储和加工</t>
    </r>
  </si>
  <si>
    <r>
      <rPr>
        <sz val="10"/>
        <color indexed="8"/>
        <rFont val="Arial Narrow"/>
        <charset val="134"/>
      </rPr>
      <t>8#</t>
    </r>
    <r>
      <rPr>
        <sz val="10"/>
        <color indexed="8"/>
        <rFont val="仿宋"/>
        <charset val="134"/>
      </rPr>
      <t>保税加工中心</t>
    </r>
  </si>
  <si>
    <r>
      <rPr>
        <sz val="10"/>
        <color indexed="8"/>
        <rFont val="Arial Narrow"/>
        <charset val="134"/>
      </rPr>
      <t>9#</t>
    </r>
    <r>
      <rPr>
        <sz val="10"/>
        <color indexed="8"/>
        <rFont val="仿宋"/>
        <charset val="134"/>
      </rPr>
      <t>保税加工中心</t>
    </r>
  </si>
  <si>
    <r>
      <rPr>
        <sz val="10"/>
        <color indexed="8"/>
        <rFont val="Arial Narrow"/>
        <charset val="134"/>
      </rPr>
      <t>10#</t>
    </r>
    <r>
      <rPr>
        <sz val="10"/>
        <color indexed="8"/>
        <rFont val="仿宋"/>
        <charset val="134"/>
      </rPr>
      <t>危险品库区</t>
    </r>
  </si>
  <si>
    <r>
      <rPr>
        <sz val="10"/>
        <color indexed="8"/>
        <rFont val="Arial Narrow"/>
        <charset val="134"/>
      </rPr>
      <t>11#</t>
    </r>
    <r>
      <rPr>
        <sz val="10"/>
        <color indexed="8"/>
        <rFont val="仿宋"/>
        <charset val="134"/>
      </rPr>
      <t>保税物流中心</t>
    </r>
  </si>
  <si>
    <r>
      <rPr>
        <sz val="10"/>
        <color indexed="8"/>
        <rFont val="Arial Narrow"/>
        <charset val="134"/>
      </rPr>
      <t>12#</t>
    </r>
    <r>
      <rPr>
        <sz val="10"/>
        <color indexed="8"/>
        <rFont val="仿宋"/>
        <charset val="134"/>
      </rPr>
      <t>保税物流中心</t>
    </r>
  </si>
  <si>
    <r>
      <rPr>
        <sz val="10"/>
        <color indexed="8"/>
        <rFont val="Arial Narrow"/>
        <charset val="134"/>
      </rPr>
      <t>13#</t>
    </r>
    <r>
      <rPr>
        <sz val="10"/>
        <color indexed="8"/>
        <rFont val="仿宋"/>
        <charset val="134"/>
      </rPr>
      <t>保税物流中心</t>
    </r>
  </si>
  <si>
    <r>
      <rPr>
        <sz val="10"/>
        <color indexed="8"/>
        <rFont val="Arial Narrow"/>
        <charset val="134"/>
      </rPr>
      <t>14#</t>
    </r>
    <r>
      <rPr>
        <sz val="10"/>
        <color indexed="8"/>
        <rFont val="仿宋"/>
        <charset val="134"/>
      </rPr>
      <t>保税物流中心</t>
    </r>
  </si>
  <si>
    <r>
      <rPr>
        <sz val="10"/>
        <color indexed="8"/>
        <rFont val="Arial Narrow"/>
        <charset val="134"/>
      </rPr>
      <t>15#</t>
    </r>
    <r>
      <rPr>
        <sz val="10"/>
        <color indexed="8"/>
        <rFont val="仿宋"/>
        <charset val="134"/>
      </rPr>
      <t>保税物流中心</t>
    </r>
  </si>
  <si>
    <r>
      <rPr>
        <sz val="10"/>
        <color indexed="8"/>
        <rFont val="Arial Narrow"/>
        <charset val="134"/>
      </rPr>
      <t>16#</t>
    </r>
    <r>
      <rPr>
        <sz val="10"/>
        <color indexed="8"/>
        <rFont val="仿宋"/>
        <charset val="134"/>
      </rPr>
      <t>保税物流中心</t>
    </r>
  </si>
  <si>
    <r>
      <rPr>
        <sz val="10"/>
        <color indexed="8"/>
        <rFont val="Arial Narrow"/>
        <charset val="134"/>
      </rPr>
      <t>17#</t>
    </r>
    <r>
      <rPr>
        <sz val="10"/>
        <color indexed="8"/>
        <rFont val="仿宋"/>
        <charset val="134"/>
      </rPr>
      <t>保税物流中心</t>
    </r>
  </si>
  <si>
    <r>
      <rPr>
        <sz val="10"/>
        <color indexed="8"/>
        <rFont val="Arial Narrow"/>
        <charset val="134"/>
      </rPr>
      <t>18#</t>
    </r>
    <r>
      <rPr>
        <sz val="10"/>
        <color indexed="8"/>
        <rFont val="仿宋"/>
        <charset val="134"/>
      </rPr>
      <t>保税物流中心</t>
    </r>
  </si>
  <si>
    <r>
      <rPr>
        <b/>
        <sz val="10"/>
        <color indexed="8"/>
        <rFont val="仿宋"/>
        <charset val="134"/>
      </rPr>
      <t>贸易和货运服务设施</t>
    </r>
  </si>
  <si>
    <t>%</t>
  </si>
  <si>
    <r>
      <rPr>
        <sz val="10"/>
        <color indexed="8"/>
        <rFont val="Arial Narrow"/>
        <charset val="134"/>
      </rPr>
      <t>19#</t>
    </r>
    <r>
      <rPr>
        <sz val="10"/>
        <color indexed="8"/>
        <rFont val="仿宋"/>
        <charset val="134"/>
      </rPr>
      <t>综合配套中心</t>
    </r>
  </si>
  <si>
    <r>
      <rPr>
        <sz val="10"/>
        <color indexed="8"/>
        <rFont val="仿宋"/>
        <charset val="134"/>
      </rPr>
      <t>地上</t>
    </r>
  </si>
  <si>
    <r>
      <rPr>
        <sz val="10"/>
        <color indexed="8"/>
        <rFont val="仿宋"/>
        <charset val="134"/>
      </rPr>
      <t>地下</t>
    </r>
  </si>
  <si>
    <r>
      <rPr>
        <sz val="10"/>
        <color indexed="8"/>
        <rFont val="仿宋"/>
        <charset val="134"/>
      </rPr>
      <t>人防工程</t>
    </r>
  </si>
  <si>
    <r>
      <rPr>
        <sz val="10"/>
        <color indexed="8"/>
        <rFont val="Arial Narrow"/>
        <charset val="134"/>
      </rPr>
      <t>20#</t>
    </r>
    <r>
      <rPr>
        <sz val="10"/>
        <color indexed="8"/>
        <rFont val="仿宋"/>
        <charset val="134"/>
      </rPr>
      <t>商贸物流大楼</t>
    </r>
  </si>
  <si>
    <r>
      <rPr>
        <b/>
        <sz val="10"/>
        <color indexed="8"/>
        <rFont val="仿宋"/>
        <charset val="134"/>
      </rPr>
      <t>信息化与相关设备</t>
    </r>
  </si>
  <si>
    <r>
      <rPr>
        <sz val="10"/>
        <color indexed="8"/>
        <rFont val="仿宋"/>
        <charset val="134"/>
      </rPr>
      <t>弱电工程</t>
    </r>
  </si>
  <si>
    <r>
      <rPr>
        <sz val="10"/>
        <color indexed="8"/>
        <rFont val="仿宋"/>
        <charset val="134"/>
      </rPr>
      <t>二弱电工程</t>
    </r>
  </si>
  <si>
    <r>
      <rPr>
        <sz val="10"/>
        <color indexed="8"/>
        <rFont val="仿宋"/>
        <charset val="134"/>
      </rPr>
      <t>室外工程</t>
    </r>
  </si>
  <si>
    <r>
      <rPr>
        <sz val="10"/>
        <color indexed="8"/>
        <rFont val="仿宋"/>
        <charset val="134"/>
      </rPr>
      <t>工艺设备</t>
    </r>
  </si>
  <si>
    <r>
      <rPr>
        <b/>
        <sz val="10"/>
        <color indexed="8"/>
        <rFont val="仿宋"/>
        <charset val="134"/>
      </rPr>
      <t>配套设施</t>
    </r>
  </si>
  <si>
    <r>
      <rPr>
        <sz val="10"/>
        <color indexed="8"/>
        <rFont val="Arial Narrow"/>
        <charset val="134"/>
      </rPr>
      <t>1#</t>
    </r>
    <r>
      <rPr>
        <sz val="10"/>
        <color indexed="8"/>
        <rFont val="仿宋"/>
        <charset val="134"/>
      </rPr>
      <t>高架联络桥</t>
    </r>
  </si>
  <si>
    <r>
      <rPr>
        <sz val="10"/>
        <color indexed="8"/>
        <rFont val="仿宋"/>
        <charset val="134"/>
      </rPr>
      <t>路基工程</t>
    </r>
  </si>
  <si>
    <r>
      <rPr>
        <sz val="10"/>
        <color indexed="8"/>
        <rFont val="仿宋"/>
        <charset val="134"/>
      </rPr>
      <t>桥梁工程</t>
    </r>
  </si>
  <si>
    <r>
      <rPr>
        <sz val="10"/>
        <color indexed="8"/>
        <rFont val="仿宋"/>
        <charset val="134"/>
      </rPr>
      <t>照明工程</t>
    </r>
  </si>
  <si>
    <r>
      <rPr>
        <sz val="10"/>
        <color indexed="8"/>
        <rFont val="Arial Narrow"/>
        <charset val="134"/>
      </rPr>
      <t>2#</t>
    </r>
    <r>
      <rPr>
        <sz val="10"/>
        <color indexed="8"/>
        <rFont val="仿宋"/>
        <charset val="134"/>
      </rPr>
      <t>预留高架联络桥</t>
    </r>
  </si>
  <si>
    <r>
      <rPr>
        <sz val="10"/>
        <color indexed="8"/>
        <rFont val="Arial Narrow"/>
        <charset val="134"/>
      </rPr>
      <t>3#</t>
    </r>
    <r>
      <rPr>
        <sz val="10"/>
        <color indexed="8"/>
        <rFont val="仿宋"/>
        <charset val="134"/>
      </rPr>
      <t>平交联络桥</t>
    </r>
  </si>
  <si>
    <r>
      <rPr>
        <sz val="10"/>
        <color indexed="8"/>
        <rFont val="Arial Narrow"/>
        <charset val="134"/>
      </rPr>
      <t>4#</t>
    </r>
    <r>
      <rPr>
        <sz val="10"/>
        <color indexed="8"/>
        <rFont val="仿宋"/>
        <charset val="134"/>
      </rPr>
      <t>高架桥</t>
    </r>
  </si>
  <si>
    <r>
      <rPr>
        <sz val="10"/>
        <color indexed="8"/>
        <rFont val="Arial Narrow"/>
        <charset val="134"/>
      </rPr>
      <t>21#</t>
    </r>
    <r>
      <rPr>
        <sz val="10"/>
        <color indexed="8"/>
        <rFont val="仿宋"/>
        <charset val="134"/>
      </rPr>
      <t>道口</t>
    </r>
  </si>
  <si>
    <r>
      <rPr>
        <sz val="10"/>
        <color indexed="8"/>
        <rFont val="仿宋"/>
        <charset val="134"/>
      </rPr>
      <t>道路、场坪、绿化等</t>
    </r>
  </si>
  <si>
    <r>
      <rPr>
        <sz val="10"/>
        <color indexed="8"/>
        <rFont val="仿宋"/>
        <charset val="134"/>
      </rPr>
      <t>二期</t>
    </r>
  </si>
  <si>
    <r>
      <rPr>
        <sz val="10"/>
        <color indexed="8"/>
        <rFont val="仿宋"/>
        <charset val="134"/>
      </rPr>
      <t>道路工程</t>
    </r>
  </si>
  <si>
    <t>5.6.2.1</t>
  </si>
  <si>
    <r>
      <rPr>
        <sz val="10"/>
        <color indexed="8"/>
        <rFont val="仿宋"/>
        <charset val="134"/>
      </rPr>
      <t>场坪工程</t>
    </r>
  </si>
  <si>
    <t>5.6.2.3</t>
  </si>
  <si>
    <r>
      <rPr>
        <sz val="10"/>
        <color indexed="8"/>
        <rFont val="仿宋"/>
        <charset val="134"/>
      </rPr>
      <t>绿化工程</t>
    </r>
  </si>
  <si>
    <t>5.6.2.4</t>
  </si>
  <si>
    <r>
      <rPr>
        <sz val="10"/>
        <color indexed="8"/>
        <rFont val="仿宋"/>
        <charset val="134"/>
      </rPr>
      <t>室外给排水工程</t>
    </r>
  </si>
  <si>
    <t>5.6.2.5</t>
  </si>
  <si>
    <r>
      <rPr>
        <sz val="10"/>
        <color indexed="8"/>
        <rFont val="仿宋"/>
        <charset val="134"/>
      </rPr>
      <t>室外电气工程</t>
    </r>
  </si>
  <si>
    <r>
      <rPr>
        <sz val="10"/>
        <color indexed="8"/>
        <rFont val="仿宋"/>
        <charset val="134"/>
      </rPr>
      <t>建筑工人实名制</t>
    </r>
  </si>
  <si>
    <r>
      <rPr>
        <sz val="10"/>
        <color indexed="8"/>
        <rFont val="仿宋"/>
        <charset val="134"/>
      </rPr>
      <t>智慧工地管理费</t>
    </r>
  </si>
  <si>
    <r>
      <rPr>
        <sz val="10"/>
        <color indexed="8"/>
        <rFont val="仿宋"/>
        <charset val="134"/>
      </rPr>
      <t>能力建设</t>
    </r>
  </si>
  <si>
    <r>
      <rPr>
        <sz val="10"/>
        <color indexed="8"/>
        <rFont val="仿宋"/>
        <charset val="134"/>
      </rPr>
      <t>专题研究</t>
    </r>
  </si>
  <si>
    <r>
      <rPr>
        <b/>
        <sz val="10"/>
        <color indexed="8"/>
        <rFont val="仿宋"/>
        <charset val="134"/>
      </rPr>
      <t>二</t>
    </r>
  </si>
  <si>
    <r>
      <rPr>
        <b/>
        <sz val="10"/>
        <color indexed="8"/>
        <rFont val="仿宋"/>
        <charset val="134"/>
      </rPr>
      <t>工程建设其他费</t>
    </r>
  </si>
  <si>
    <r>
      <rPr>
        <sz val="10"/>
        <color indexed="8"/>
        <rFont val="仿宋"/>
        <charset val="134"/>
      </rPr>
      <t>土地费用</t>
    </r>
  </si>
  <si>
    <r>
      <rPr>
        <sz val="10"/>
        <color indexed="8"/>
        <rFont val="仿宋"/>
        <charset val="134"/>
      </rPr>
      <t>建设单位管理费</t>
    </r>
  </si>
  <si>
    <r>
      <rPr>
        <sz val="10"/>
        <color indexed="8"/>
        <rFont val="仿宋"/>
        <charset val="134"/>
      </rPr>
      <t>参照财建</t>
    </r>
    <r>
      <rPr>
        <sz val="10"/>
        <color indexed="8"/>
        <rFont val="Arial Narrow"/>
        <charset val="134"/>
      </rPr>
      <t xml:space="preserve">[2016]504 </t>
    </r>
    <r>
      <rPr>
        <sz val="10"/>
        <color indexed="8"/>
        <rFont val="仿宋"/>
        <charset val="134"/>
      </rPr>
      <t>号</t>
    </r>
    <r>
      <rPr>
        <sz val="10"/>
        <color indexed="8"/>
        <rFont val="Arial Narrow"/>
        <charset val="134"/>
      </rPr>
      <t xml:space="preserve"> 0.50%</t>
    </r>
  </si>
  <si>
    <r>
      <rPr>
        <sz val="10"/>
        <color indexed="8"/>
        <rFont val="仿宋"/>
        <charset val="134"/>
      </rPr>
      <t>工程建设监理费</t>
    </r>
  </si>
  <si>
    <r>
      <rPr>
        <sz val="10"/>
        <color indexed="8"/>
        <rFont val="仿宋"/>
        <charset val="134"/>
      </rPr>
      <t>参照发改价格</t>
    </r>
  </si>
  <si>
    <r>
      <rPr>
        <sz val="10"/>
        <color indexed="8"/>
        <rFont val="Arial Narrow"/>
        <charset val="134"/>
      </rPr>
      <t xml:space="preserve">[2007]670 </t>
    </r>
    <r>
      <rPr>
        <sz val="10"/>
        <color indexed="8"/>
        <rFont val="仿宋"/>
        <charset val="134"/>
      </rPr>
      <t>号</t>
    </r>
  </si>
  <si>
    <r>
      <rPr>
        <sz val="10"/>
        <color indexed="8"/>
        <rFont val="仿宋"/>
        <charset val="134"/>
      </rPr>
      <t>建设项目前期咨询费用</t>
    </r>
  </si>
  <si>
    <r>
      <rPr>
        <sz val="10"/>
        <color indexed="8"/>
        <rFont val="仿宋"/>
        <charset val="134"/>
      </rPr>
      <t>可研报告及资金申请报告编制</t>
    </r>
  </si>
  <si>
    <r>
      <rPr>
        <sz val="10"/>
        <color indexed="8"/>
        <rFont val="仿宋"/>
        <charset val="134"/>
      </rPr>
      <t>参照计价格</t>
    </r>
    <r>
      <rPr>
        <sz val="10"/>
        <color indexed="8"/>
        <rFont val="Arial Narrow"/>
        <charset val="134"/>
      </rPr>
      <t>[1999]1283</t>
    </r>
  </si>
  <si>
    <r>
      <rPr>
        <sz val="10"/>
        <color indexed="8"/>
        <rFont val="仿宋"/>
        <charset val="134"/>
      </rPr>
      <t>号</t>
    </r>
  </si>
  <si>
    <r>
      <rPr>
        <sz val="10"/>
        <color indexed="8"/>
        <rFont val="仿宋"/>
        <charset val="134"/>
      </rPr>
      <t>水土保持相关费用</t>
    </r>
  </si>
  <si>
    <r>
      <rPr>
        <sz val="10"/>
        <color indexed="8"/>
        <rFont val="仿宋"/>
        <charset val="134"/>
      </rPr>
      <t>参照水利部保监</t>
    </r>
  </si>
  <si>
    <r>
      <rPr>
        <sz val="10"/>
        <color indexed="8"/>
        <rFont val="Arial Narrow"/>
        <charset val="134"/>
      </rPr>
      <t xml:space="preserve">[2005]22 </t>
    </r>
    <r>
      <rPr>
        <sz val="10"/>
        <color indexed="8"/>
        <rFont val="仿宋"/>
        <charset val="134"/>
      </rPr>
      <t>号</t>
    </r>
  </si>
  <si>
    <r>
      <rPr>
        <sz val="10"/>
        <color indexed="8"/>
        <rFont val="仿宋"/>
        <charset val="134"/>
      </rPr>
      <t>水土保持方案编制费</t>
    </r>
  </si>
  <si>
    <r>
      <rPr>
        <sz val="10"/>
        <color indexed="8"/>
        <rFont val="仿宋"/>
        <charset val="134"/>
      </rPr>
      <t>水土保持监测费</t>
    </r>
  </si>
  <si>
    <r>
      <rPr>
        <sz val="10"/>
        <color indexed="8"/>
        <rFont val="仿宋"/>
        <charset val="134"/>
      </rPr>
      <t>水土保持设施竣工验收技术评</t>
    </r>
  </si>
  <si>
    <r>
      <rPr>
        <sz val="10"/>
        <color indexed="8"/>
        <rFont val="仿宋"/>
        <charset val="134"/>
      </rPr>
      <t>估报告编制费</t>
    </r>
  </si>
  <si>
    <r>
      <rPr>
        <sz val="10"/>
        <color indexed="8"/>
        <rFont val="仿宋"/>
        <charset val="134"/>
      </rPr>
      <t>水土保持补偿费</t>
    </r>
  </si>
  <si>
    <r>
      <rPr>
        <b/>
        <sz val="10"/>
        <color indexed="8"/>
        <rFont val="仿宋"/>
        <charset val="134"/>
      </rPr>
      <t>㎡</t>
    </r>
  </si>
  <si>
    <r>
      <rPr>
        <sz val="10"/>
        <color indexed="8"/>
        <rFont val="仿宋"/>
        <charset val="134"/>
      </rPr>
      <t>鄂价环资</t>
    </r>
    <r>
      <rPr>
        <sz val="10"/>
        <color indexed="8"/>
        <rFont val="Arial Narrow"/>
        <charset val="134"/>
      </rPr>
      <t xml:space="preserve">[2017]93 </t>
    </r>
    <r>
      <rPr>
        <sz val="10"/>
        <color indexed="8"/>
        <rFont val="仿宋"/>
        <charset val="134"/>
      </rPr>
      <t>号</t>
    </r>
    <r>
      <rPr>
        <sz val="10"/>
        <color indexed="8"/>
        <rFont val="Arial Narrow"/>
        <charset val="134"/>
      </rPr>
      <t xml:space="preserve"> 0.02%</t>
    </r>
  </si>
  <si>
    <r>
      <rPr>
        <sz val="10"/>
        <color indexed="8"/>
        <rFont val="仿宋"/>
        <charset val="134"/>
      </rPr>
      <t>勘察设计费</t>
    </r>
  </si>
  <si>
    <r>
      <rPr>
        <sz val="10"/>
        <color indexed="8"/>
        <rFont val="仿宋"/>
        <charset val="134"/>
      </rPr>
      <t>工程勘察费</t>
    </r>
  </si>
  <si>
    <r>
      <rPr>
        <sz val="10"/>
        <color indexed="8"/>
        <rFont val="仿宋"/>
        <charset val="134"/>
      </rPr>
      <t>参照计价格</t>
    </r>
    <r>
      <rPr>
        <sz val="10"/>
        <color indexed="8"/>
        <rFont val="Arial Narrow"/>
        <charset val="134"/>
      </rPr>
      <t xml:space="preserve">[2002]10 </t>
    </r>
    <r>
      <rPr>
        <sz val="10"/>
        <color indexed="8"/>
        <rFont val="仿宋"/>
        <charset val="134"/>
      </rPr>
      <t>号</t>
    </r>
    <r>
      <rPr>
        <sz val="10"/>
        <color indexed="8"/>
        <rFont val="Arial Narrow"/>
        <charset val="134"/>
      </rPr>
      <t xml:space="preserve">  0.45%</t>
    </r>
  </si>
  <si>
    <r>
      <rPr>
        <sz val="10"/>
        <color indexed="8"/>
        <rFont val="仿宋"/>
        <charset val="134"/>
      </rPr>
      <t>工程设计费</t>
    </r>
  </si>
  <si>
    <r>
      <rPr>
        <sz val="10"/>
        <color indexed="8"/>
        <rFont val="仿宋"/>
        <charset val="134"/>
      </rPr>
      <t>参照计价格</t>
    </r>
    <r>
      <rPr>
        <sz val="10"/>
        <color indexed="8"/>
        <rFont val="Arial Narrow"/>
        <charset val="134"/>
      </rPr>
      <t xml:space="preserve">[2002]10 </t>
    </r>
    <r>
      <rPr>
        <sz val="10"/>
        <color indexed="8"/>
        <rFont val="仿宋"/>
        <charset val="134"/>
      </rPr>
      <t>号</t>
    </r>
    <r>
      <rPr>
        <sz val="10"/>
        <color indexed="8"/>
        <rFont val="Arial Narrow"/>
        <charset val="134"/>
      </rPr>
      <t xml:space="preserve">  1.18%</t>
    </r>
  </si>
  <si>
    <r>
      <rPr>
        <sz val="10"/>
        <color indexed="8"/>
        <rFont val="仿宋"/>
        <charset val="134"/>
      </rPr>
      <t>施工图预算编制费</t>
    </r>
  </si>
  <si>
    <r>
      <rPr>
        <sz val="10"/>
        <color indexed="8"/>
        <rFont val="仿宋"/>
        <charset val="134"/>
      </rPr>
      <t>参照计价格</t>
    </r>
    <r>
      <rPr>
        <sz val="10"/>
        <color indexed="8"/>
        <rFont val="Arial Narrow"/>
        <charset val="134"/>
      </rPr>
      <t xml:space="preserve">[2002]10 </t>
    </r>
    <r>
      <rPr>
        <sz val="10"/>
        <color indexed="8"/>
        <rFont val="仿宋"/>
        <charset val="134"/>
      </rPr>
      <t>号</t>
    </r>
    <r>
      <rPr>
        <sz val="10"/>
        <color indexed="8"/>
        <rFont val="Arial Narrow"/>
        <charset val="134"/>
      </rPr>
      <t xml:space="preserve">  0.09%</t>
    </r>
  </si>
  <si>
    <r>
      <rPr>
        <sz val="10"/>
        <color indexed="8"/>
        <rFont val="仿宋"/>
        <charset val="134"/>
      </rPr>
      <t>竣工图编制费</t>
    </r>
  </si>
  <si>
    <r>
      <rPr>
        <sz val="10"/>
        <color indexed="8"/>
        <rFont val="仿宋"/>
        <charset val="134"/>
      </rPr>
      <t>建设工程造价咨询服务费</t>
    </r>
  </si>
  <si>
    <r>
      <rPr>
        <sz val="10"/>
        <color indexed="8"/>
        <rFont val="仿宋"/>
        <charset val="134"/>
      </rPr>
      <t>参照鄂价工服规</t>
    </r>
  </si>
  <si>
    <r>
      <rPr>
        <sz val="10"/>
        <color indexed="8"/>
        <rFont val="Arial Narrow"/>
        <charset val="134"/>
      </rPr>
      <t xml:space="preserve">[2012]149 </t>
    </r>
    <r>
      <rPr>
        <sz val="10"/>
        <color indexed="8"/>
        <rFont val="仿宋"/>
        <charset val="134"/>
      </rPr>
      <t>号</t>
    </r>
  </si>
  <si>
    <r>
      <rPr>
        <sz val="10"/>
        <color indexed="8"/>
        <rFont val="仿宋"/>
        <charset val="134"/>
      </rPr>
      <t>工程量清单编制</t>
    </r>
  </si>
  <si>
    <r>
      <rPr>
        <sz val="10"/>
        <color indexed="8"/>
        <rFont val="仿宋"/>
        <charset val="134"/>
      </rPr>
      <t>控制价编制</t>
    </r>
  </si>
  <si>
    <r>
      <rPr>
        <sz val="10"/>
        <color indexed="8"/>
        <rFont val="仿宋"/>
        <charset val="134"/>
      </rPr>
      <t>施工阶段全过程造价控制</t>
    </r>
  </si>
  <si>
    <r>
      <rPr>
        <sz val="10"/>
        <color indexed="8"/>
        <rFont val="仿宋"/>
        <charset val="134"/>
      </rPr>
      <t>竣工决算审核</t>
    </r>
  </si>
  <si>
    <r>
      <rPr>
        <sz val="10"/>
        <color indexed="8"/>
        <rFont val="仿宋"/>
        <charset val="134"/>
      </rPr>
      <t>参照鄂价工服规</t>
    </r>
    <r>
      <rPr>
        <sz val="10"/>
        <color indexed="8"/>
        <rFont val="Arial Narrow"/>
        <charset val="134"/>
      </rPr>
      <t xml:space="preserve"> 0.30%</t>
    </r>
  </si>
  <si>
    <r>
      <rPr>
        <sz val="10"/>
        <color indexed="8"/>
        <rFont val="仿宋"/>
        <charset val="134"/>
      </rPr>
      <t>场地准备及临时设施费</t>
    </r>
  </si>
  <si>
    <r>
      <rPr>
        <sz val="10"/>
        <color indexed="8"/>
        <rFont val="仿宋"/>
        <charset val="134"/>
      </rPr>
      <t>工程费用</t>
    </r>
    <r>
      <rPr>
        <sz val="10"/>
        <color indexed="8"/>
        <rFont val="Arial Narrow"/>
        <charset val="134"/>
      </rPr>
      <t xml:space="preserve"> 1% 0.71%</t>
    </r>
  </si>
  <si>
    <r>
      <rPr>
        <sz val="10"/>
        <color indexed="8"/>
        <rFont val="仿宋"/>
        <charset val="134"/>
      </rPr>
      <t>工程保险费</t>
    </r>
  </si>
  <si>
    <r>
      <rPr>
        <sz val="10"/>
        <color indexed="8"/>
        <rFont val="仿宋"/>
        <charset val="134"/>
      </rPr>
      <t>工程费用</t>
    </r>
    <r>
      <rPr>
        <sz val="10"/>
        <color indexed="8"/>
        <rFont val="Arial Narrow"/>
        <charset val="134"/>
      </rPr>
      <t xml:space="preserve"> 0.5% 0.35%</t>
    </r>
  </si>
  <si>
    <r>
      <rPr>
        <sz val="10"/>
        <color indexed="8"/>
        <rFont val="仿宋"/>
        <charset val="134"/>
      </rPr>
      <t>招标代理服务费</t>
    </r>
  </si>
  <si>
    <r>
      <rPr>
        <sz val="10"/>
        <color indexed="8"/>
        <rFont val="仿宋"/>
        <charset val="134"/>
      </rPr>
      <t>参照计价格</t>
    </r>
    <r>
      <rPr>
        <sz val="10"/>
        <color indexed="8"/>
        <rFont val="Arial Narrow"/>
        <charset val="134"/>
      </rPr>
      <t>[2002]1980</t>
    </r>
  </si>
  <si>
    <r>
      <rPr>
        <sz val="10"/>
        <color indexed="8"/>
        <rFont val="仿宋"/>
        <charset val="134"/>
      </rPr>
      <t>工程招标</t>
    </r>
  </si>
  <si>
    <r>
      <rPr>
        <sz val="10"/>
        <color indexed="8"/>
        <rFont val="仿宋"/>
        <charset val="134"/>
      </rPr>
      <t>服务招标</t>
    </r>
  </si>
  <si>
    <r>
      <rPr>
        <sz val="10"/>
        <color indexed="8"/>
        <rFont val="仿宋"/>
        <charset val="134"/>
      </rPr>
      <t>设计招标</t>
    </r>
  </si>
  <si>
    <r>
      <rPr>
        <sz val="10"/>
        <color indexed="8"/>
        <rFont val="仿宋"/>
        <charset val="134"/>
      </rPr>
      <t>勘察招标</t>
    </r>
  </si>
  <si>
    <r>
      <rPr>
        <sz val="10"/>
        <color indexed="8"/>
        <rFont val="仿宋"/>
        <charset val="134"/>
      </rPr>
      <t>监理招标</t>
    </r>
  </si>
  <si>
    <r>
      <rPr>
        <sz val="10"/>
        <color indexed="8"/>
        <rFont val="仿宋"/>
        <charset val="134"/>
      </rPr>
      <t>环境影响咨询服务费</t>
    </r>
  </si>
  <si>
    <r>
      <rPr>
        <sz val="10"/>
        <color indexed="8"/>
        <rFont val="仿宋"/>
        <charset val="134"/>
      </rPr>
      <t>社会稳定性风险评估</t>
    </r>
  </si>
  <si>
    <r>
      <rPr>
        <sz val="10"/>
        <color indexed="8"/>
        <rFont val="仿宋"/>
        <charset val="134"/>
      </rPr>
      <t>节能报告评估</t>
    </r>
  </si>
  <si>
    <r>
      <rPr>
        <sz val="10"/>
        <color indexed="8"/>
        <rFont val="仿宋"/>
        <charset val="134"/>
      </rPr>
      <t>建筑垃圾服务费</t>
    </r>
  </si>
  <si>
    <r>
      <rPr>
        <sz val="10"/>
        <color indexed="8"/>
        <rFont val="仿宋"/>
        <charset val="134"/>
      </rPr>
      <t>地质灾害危害性评估</t>
    </r>
  </si>
  <si>
    <r>
      <rPr>
        <sz val="10"/>
        <color indexed="8"/>
        <rFont val="仿宋"/>
        <charset val="134"/>
      </rPr>
      <t>交通影响评价费</t>
    </r>
  </si>
  <si>
    <r>
      <rPr>
        <sz val="10"/>
        <color indexed="8"/>
        <rFont val="仿宋"/>
        <charset val="134"/>
      </rPr>
      <t>高可靠性供电费</t>
    </r>
  </si>
  <si>
    <r>
      <rPr>
        <sz val="10"/>
        <color indexed="8"/>
        <rFont val="仿宋"/>
        <charset val="134"/>
      </rPr>
      <t>第三方检测费</t>
    </r>
  </si>
  <si>
    <r>
      <rPr>
        <b/>
        <sz val="10"/>
        <color indexed="8"/>
        <rFont val="仿宋"/>
        <charset val="134"/>
      </rPr>
      <t>三</t>
    </r>
  </si>
  <si>
    <r>
      <rPr>
        <b/>
        <sz val="10"/>
        <color indexed="8"/>
        <rFont val="仿宋"/>
        <charset val="134"/>
      </rPr>
      <t>预备费</t>
    </r>
  </si>
  <si>
    <r>
      <rPr>
        <b/>
        <sz val="10"/>
        <color indexed="8"/>
        <rFont val="仿宋"/>
        <charset val="134"/>
      </rPr>
      <t>四</t>
    </r>
  </si>
  <si>
    <r>
      <rPr>
        <b/>
        <sz val="10"/>
        <color indexed="8"/>
        <rFont val="仿宋"/>
        <charset val="134"/>
      </rPr>
      <t>专项费用</t>
    </r>
  </si>
  <si>
    <r>
      <rPr>
        <sz val="10"/>
        <color indexed="8"/>
        <rFont val="仿宋"/>
        <charset val="134"/>
      </rPr>
      <t>外电报装</t>
    </r>
  </si>
  <si>
    <r>
      <rPr>
        <sz val="10"/>
        <color indexed="8"/>
        <rFont val="仿宋"/>
        <charset val="134"/>
      </rPr>
      <t>外水报装</t>
    </r>
  </si>
  <si>
    <r>
      <rPr>
        <sz val="10"/>
        <color indexed="8"/>
        <rFont val="仿宋"/>
        <charset val="134"/>
      </rPr>
      <t>燃气报装</t>
    </r>
  </si>
  <si>
    <r>
      <rPr>
        <b/>
        <sz val="10"/>
        <color indexed="8"/>
        <rFont val="仿宋"/>
        <charset val="134"/>
      </rPr>
      <t>五</t>
    </r>
  </si>
  <si>
    <r>
      <rPr>
        <b/>
        <sz val="10"/>
        <color indexed="8"/>
        <rFont val="仿宋"/>
        <charset val="134"/>
      </rPr>
      <t>建设投资</t>
    </r>
  </si>
  <si>
    <r>
      <rPr>
        <sz val="10"/>
        <color indexed="8"/>
        <rFont val="仿宋"/>
        <charset val="134"/>
      </rPr>
      <t>（一</t>
    </r>
    <r>
      <rPr>
        <sz val="10"/>
        <color indexed="8"/>
        <rFont val="Arial Narrow"/>
        <charset val="134"/>
      </rPr>
      <t>+</t>
    </r>
    <r>
      <rPr>
        <sz val="10"/>
        <color indexed="8"/>
        <rFont val="仿宋"/>
        <charset val="134"/>
      </rPr>
      <t>二</t>
    </r>
    <r>
      <rPr>
        <sz val="10"/>
        <color indexed="8"/>
        <rFont val="Arial Narrow"/>
        <charset val="134"/>
      </rPr>
      <t>+</t>
    </r>
    <r>
      <rPr>
        <sz val="10"/>
        <color indexed="8"/>
        <rFont val="仿宋"/>
        <charset val="134"/>
      </rPr>
      <t>三）</t>
    </r>
  </si>
  <si>
    <r>
      <rPr>
        <b/>
        <sz val="10"/>
        <color indexed="8"/>
        <rFont val="仿宋"/>
        <charset val="134"/>
      </rPr>
      <t>六</t>
    </r>
  </si>
  <si>
    <r>
      <rPr>
        <b/>
        <sz val="10"/>
        <color indexed="8"/>
        <rFont val="仿宋"/>
        <charset val="134"/>
      </rPr>
      <t>建设期利息及贷款费用</t>
    </r>
  </si>
  <si>
    <r>
      <rPr>
        <sz val="10"/>
        <color indexed="8"/>
        <rFont val="仿宋"/>
        <charset val="134"/>
      </rPr>
      <t>建设期利息</t>
    </r>
  </si>
  <si>
    <r>
      <rPr>
        <sz val="10"/>
        <color indexed="8"/>
        <rFont val="仿宋"/>
        <charset val="134"/>
      </rPr>
      <t>先征费（</t>
    </r>
    <r>
      <rPr>
        <sz val="10"/>
        <color indexed="8"/>
        <rFont val="Arial Narrow"/>
        <charset val="134"/>
      </rPr>
      <t>0.25%</t>
    </r>
    <r>
      <rPr>
        <sz val="10"/>
        <color indexed="8"/>
        <rFont val="仿宋"/>
        <charset val="134"/>
      </rPr>
      <t>）</t>
    </r>
  </si>
  <si>
    <r>
      <rPr>
        <sz val="10"/>
        <color indexed="8"/>
        <rFont val="仿宋"/>
        <charset val="134"/>
      </rPr>
      <t>承诺费（</t>
    </r>
    <r>
      <rPr>
        <sz val="10"/>
        <color indexed="8"/>
        <rFont val="Arial Narrow"/>
        <charset val="134"/>
      </rPr>
      <t>0.25%</t>
    </r>
    <r>
      <rPr>
        <sz val="10"/>
        <color indexed="8"/>
        <rFont val="仿宋"/>
        <charset val="134"/>
      </rPr>
      <t>）</t>
    </r>
  </si>
  <si>
    <r>
      <rPr>
        <b/>
        <sz val="10"/>
        <color indexed="8"/>
        <rFont val="仿宋"/>
        <charset val="134"/>
      </rPr>
      <t>七</t>
    </r>
  </si>
  <si>
    <r>
      <rPr>
        <b/>
        <sz val="10"/>
        <color indexed="8"/>
        <rFont val="仿宋"/>
        <charset val="134"/>
      </rPr>
      <t>流动资金</t>
    </r>
  </si>
  <si>
    <r>
      <rPr>
        <b/>
        <sz val="10"/>
        <color indexed="8"/>
        <rFont val="仿宋"/>
        <charset val="134"/>
      </rPr>
      <t>八</t>
    </r>
  </si>
  <si>
    <r>
      <rPr>
        <b/>
        <sz val="10"/>
        <color indexed="8"/>
        <rFont val="仿宋"/>
        <charset val="134"/>
      </rPr>
      <t>总投资</t>
    </r>
  </si>
  <si>
    <r>
      <rPr>
        <sz val="10"/>
        <color indexed="8"/>
        <rFont val="仿宋"/>
        <charset val="134"/>
      </rPr>
      <t>（四</t>
    </r>
    <r>
      <rPr>
        <sz val="10"/>
        <color indexed="8"/>
        <rFont val="Arial Narrow"/>
        <charset val="134"/>
      </rPr>
      <t>+</t>
    </r>
    <r>
      <rPr>
        <sz val="10"/>
        <color indexed="8"/>
        <rFont val="仿宋"/>
        <charset val="134"/>
      </rPr>
      <t>五</t>
    </r>
    <r>
      <rPr>
        <sz val="10"/>
        <color indexed="8"/>
        <rFont val="Arial Narrow"/>
        <charset val="134"/>
      </rPr>
      <t>+</t>
    </r>
    <r>
      <rPr>
        <sz val="10"/>
        <color indexed="8"/>
        <rFont val="仿宋"/>
        <charset val="134"/>
      </rPr>
      <t>六</t>
    </r>
    <r>
      <rPr>
        <sz val="10"/>
        <color indexed="8"/>
        <rFont val="Arial Narrow"/>
        <charset val="134"/>
      </rPr>
      <t>+</t>
    </r>
    <r>
      <rPr>
        <sz val="10"/>
        <color indexed="8"/>
        <rFont val="仿宋"/>
        <charset val="134"/>
      </rPr>
      <t>七）</t>
    </r>
  </si>
  <si>
    <t xml:space="preserve">序号 </t>
  </si>
  <si>
    <t>估算价值(万元)</t>
  </si>
  <si>
    <t>备 注</t>
  </si>
  <si>
    <r>
      <rPr>
        <b/>
        <sz val="11"/>
        <color rgb="FF000000"/>
        <rFont val="宋体"/>
        <charset val="134"/>
      </rPr>
      <t>其他费用</t>
    </r>
  </si>
  <si>
    <r>
      <rPr>
        <b/>
        <sz val="11"/>
        <color rgb="FF000000"/>
        <rFont val="宋体"/>
        <charset val="134"/>
      </rPr>
      <t>合</t>
    </r>
    <r>
      <rPr>
        <b/>
        <sz val="11"/>
        <color rgb="FF000000"/>
        <rFont val="Times New Roman"/>
        <charset val="134"/>
      </rPr>
      <t xml:space="preserve">  </t>
    </r>
    <r>
      <rPr>
        <b/>
        <sz val="11"/>
        <color rgb="FF000000"/>
        <rFont val="宋体"/>
        <charset val="134"/>
      </rPr>
      <t>计</t>
    </r>
  </si>
  <si>
    <t>（1+2+3）</t>
  </si>
  <si>
    <t>2#国际货站</t>
  </si>
  <si>
    <t>3#国际货站</t>
  </si>
  <si>
    <t>4#国际快件中心</t>
  </si>
  <si>
    <t>2#海关卡口</t>
  </si>
  <si>
    <t>车道</t>
  </si>
  <si>
    <t>4#海关卡口</t>
  </si>
  <si>
    <t>8#保税加工中心</t>
  </si>
  <si>
    <t>9#保税加工中心</t>
  </si>
  <si>
    <t>10#危险品库区</t>
  </si>
  <si>
    <t>11#保税物流中心</t>
  </si>
  <si>
    <t>12#保税物流中心</t>
  </si>
  <si>
    <t>13#保税物流中心</t>
  </si>
  <si>
    <t>14#保税物流中心</t>
  </si>
  <si>
    <t>15#保税物流中心</t>
  </si>
  <si>
    <t>16#保税物流中心</t>
  </si>
  <si>
    <t>17#保税物流中心</t>
  </si>
  <si>
    <t>18#保税物流中心</t>
  </si>
  <si>
    <t>19#综合配套中心</t>
  </si>
  <si>
    <t>20#商贸物流大楼</t>
  </si>
  <si>
    <t>海关监管设备及综保区信息化</t>
  </si>
  <si>
    <t>民航货检设备设施</t>
  </si>
  <si>
    <t>园区弱电智能化及无人驾驶</t>
  </si>
  <si>
    <t>1#高架桥</t>
  </si>
  <si>
    <t>2#高架桥</t>
  </si>
  <si>
    <t>3#高架桥</t>
  </si>
  <si>
    <t>4#高架桥</t>
  </si>
  <si>
    <t>21#道口</t>
  </si>
  <si>
    <t>建筑工人实名制</t>
  </si>
  <si>
    <t>智慧工地管理费</t>
  </si>
  <si>
    <r>
      <rPr>
        <sz val="11"/>
        <color rgb="FF000000"/>
        <rFont val="宋体"/>
        <charset val="134"/>
      </rPr>
      <t>参照财建</t>
    </r>
    <r>
      <rPr>
        <sz val="11"/>
        <color rgb="FF000000"/>
        <rFont val="Times New Roman"/>
        <charset val="134"/>
      </rPr>
      <t>[2016]504</t>
    </r>
    <r>
      <rPr>
        <sz val="11"/>
        <color rgb="FF000000"/>
        <rFont val="宋体"/>
        <charset val="134"/>
      </rPr>
      <t>号</t>
    </r>
  </si>
  <si>
    <r>
      <rPr>
        <sz val="11"/>
        <color rgb="FF000000"/>
        <rFont val="宋体"/>
        <charset val="134"/>
      </rPr>
      <t>参照发改价格</t>
    </r>
    <r>
      <rPr>
        <sz val="11"/>
        <color rgb="FF000000"/>
        <rFont val="Times New Roman"/>
        <charset val="134"/>
      </rPr>
      <t>[2007]670</t>
    </r>
    <r>
      <rPr>
        <sz val="11"/>
        <color rgb="FF000000"/>
        <rFont val="宋体"/>
        <charset val="134"/>
      </rPr>
      <t>号</t>
    </r>
  </si>
  <si>
    <t>参照计价格[1999]1283号</t>
  </si>
  <si>
    <r>
      <rPr>
        <sz val="11"/>
        <color rgb="FF000000"/>
        <rFont val="宋体"/>
        <charset val="134"/>
      </rPr>
      <t>参照水利部保监</t>
    </r>
    <r>
      <rPr>
        <sz val="11"/>
        <color rgb="FF000000"/>
        <rFont val="Times New Roman"/>
        <charset val="134"/>
      </rPr>
      <t>[2005]22</t>
    </r>
    <r>
      <rPr>
        <sz val="11"/>
        <color rgb="FF000000"/>
        <rFont val="宋体"/>
        <charset val="134"/>
      </rPr>
      <t>号</t>
    </r>
  </si>
  <si>
    <r>
      <rPr>
        <sz val="11"/>
        <color rgb="FF000000"/>
        <rFont val="宋体"/>
        <charset val="134"/>
      </rPr>
      <t>鄂价环资</t>
    </r>
    <r>
      <rPr>
        <sz val="11"/>
        <color rgb="FF000000"/>
        <rFont val="Times New Roman"/>
        <charset val="134"/>
      </rPr>
      <t>[2017]93</t>
    </r>
    <r>
      <rPr>
        <sz val="11"/>
        <color rgb="FF000000"/>
        <rFont val="宋体"/>
        <charset val="134"/>
      </rPr>
      <t>号</t>
    </r>
  </si>
  <si>
    <r>
      <rPr>
        <sz val="11"/>
        <color rgb="FF000000"/>
        <rFont val="宋体"/>
        <charset val="134"/>
      </rPr>
      <t>参照计价格</t>
    </r>
    <r>
      <rPr>
        <sz val="11"/>
        <color rgb="FF000000"/>
        <rFont val="Times New Roman"/>
        <charset val="134"/>
      </rPr>
      <t>[2002]10</t>
    </r>
    <r>
      <rPr>
        <sz val="11"/>
        <color rgb="FF000000"/>
        <rFont val="宋体"/>
        <charset val="134"/>
      </rPr>
      <t>号</t>
    </r>
  </si>
  <si>
    <t>参照鄂价工服规[2012]149号</t>
  </si>
  <si>
    <t>工程费用1%</t>
  </si>
  <si>
    <r>
      <rPr>
        <sz val="11"/>
        <color rgb="FF000000"/>
        <rFont val="宋体"/>
        <charset val="134"/>
      </rPr>
      <t>工程费用</t>
    </r>
    <r>
      <rPr>
        <sz val="11"/>
        <color rgb="FF000000"/>
        <rFont val="Times New Roman"/>
        <charset val="134"/>
      </rPr>
      <t>0.5%</t>
    </r>
  </si>
  <si>
    <r>
      <rPr>
        <sz val="11"/>
        <color rgb="FF000000"/>
        <rFont val="宋体"/>
        <charset val="134"/>
      </rPr>
      <t>参照计价格</t>
    </r>
    <r>
      <rPr>
        <sz val="11"/>
        <color rgb="FF000000"/>
        <rFont val="Times New Roman"/>
        <charset val="134"/>
      </rPr>
      <t>[2002]1980</t>
    </r>
    <r>
      <rPr>
        <sz val="11"/>
        <color rgb="FF000000"/>
        <rFont val="宋体"/>
        <charset val="134"/>
      </rPr>
      <t>号</t>
    </r>
  </si>
  <si>
    <r>
      <rPr>
        <sz val="11"/>
        <color rgb="FF000000"/>
        <rFont val="宋体"/>
        <charset val="134"/>
      </rPr>
      <t>（一</t>
    </r>
    <r>
      <rPr>
        <sz val="11"/>
        <color rgb="FF000000"/>
        <rFont val="Times New Roman"/>
        <charset val="134"/>
      </rPr>
      <t>+</t>
    </r>
    <r>
      <rPr>
        <sz val="11"/>
        <color rgb="FF000000"/>
        <rFont val="宋体"/>
        <charset val="134"/>
      </rPr>
      <t>二</t>
    </r>
    <r>
      <rPr>
        <sz val="11"/>
        <color rgb="FF000000"/>
        <rFont val="Times New Roman"/>
        <charset val="134"/>
      </rPr>
      <t>+</t>
    </r>
    <r>
      <rPr>
        <sz val="11"/>
        <color rgb="FF000000"/>
        <rFont val="宋体"/>
        <charset val="134"/>
      </rPr>
      <t>三）</t>
    </r>
  </si>
  <si>
    <t>先征费（0.25%）</t>
  </si>
  <si>
    <t>承诺费（0.25%）</t>
  </si>
  <si>
    <r>
      <rPr>
        <sz val="11"/>
        <color rgb="FF000000"/>
        <rFont val="宋体"/>
        <charset val="134"/>
      </rPr>
      <t>（四</t>
    </r>
    <r>
      <rPr>
        <sz val="11"/>
        <color rgb="FF000000"/>
        <rFont val="Times New Roman"/>
        <charset val="134"/>
      </rPr>
      <t>+</t>
    </r>
    <r>
      <rPr>
        <sz val="11"/>
        <color rgb="FF000000"/>
        <rFont val="宋体"/>
        <charset val="134"/>
      </rPr>
      <t>五</t>
    </r>
    <r>
      <rPr>
        <sz val="11"/>
        <color rgb="FF000000"/>
        <rFont val="Times New Roman"/>
        <charset val="134"/>
      </rPr>
      <t>+</t>
    </r>
    <r>
      <rPr>
        <sz val="11"/>
        <color rgb="FF000000"/>
        <rFont val="宋体"/>
        <charset val="134"/>
      </rPr>
      <t>六</t>
    </r>
    <r>
      <rPr>
        <sz val="11"/>
        <color rgb="FF000000"/>
        <rFont val="Times New Roman"/>
        <charset val="134"/>
      </rPr>
      <t>+</t>
    </r>
    <r>
      <rPr>
        <sz val="11"/>
        <color rgb="FF000000"/>
        <rFont val="宋体"/>
        <charset val="134"/>
      </rPr>
      <t>七）</t>
    </r>
  </si>
  <si>
    <t>技术支持服务</t>
  </si>
  <si>
    <t>实施期建设相关费用</t>
  </si>
  <si>
    <t>土地</t>
  </si>
  <si>
    <t>项目管理与能力建设</t>
  </si>
  <si>
    <t>人民币(万元)</t>
  </si>
  <si>
    <t>美元(万元)</t>
  </si>
  <si>
    <r>
      <rPr>
        <b/>
        <sz val="12"/>
        <color indexed="8"/>
        <rFont val="Arial"/>
        <charset val="134"/>
      </rPr>
      <t xml:space="preserve">A. </t>
    </r>
    <r>
      <rPr>
        <b/>
        <sz val="12"/>
        <color indexed="8"/>
        <rFont val="宋体"/>
        <charset val="134"/>
      </rPr>
      <t>基本费用</t>
    </r>
  </si>
  <si>
    <r>
      <rPr>
        <sz val="12"/>
        <color indexed="8"/>
        <rFont val="Arial"/>
        <charset val="134"/>
      </rPr>
      <t xml:space="preserve">1. </t>
    </r>
    <r>
      <rPr>
        <sz val="12"/>
        <color indexed="8"/>
        <rFont val="宋体"/>
        <charset val="134"/>
      </rPr>
      <t>海关业务基础设施</t>
    </r>
  </si>
  <si>
    <r>
      <rPr>
        <sz val="12"/>
        <color indexed="8"/>
        <rFont val="Arial"/>
        <charset val="134"/>
      </rPr>
      <t xml:space="preserve">2. </t>
    </r>
    <r>
      <rPr>
        <sz val="12"/>
        <color indexed="8"/>
        <rFont val="宋体"/>
        <charset val="134"/>
      </rPr>
      <t>保税仓储和加工</t>
    </r>
  </si>
  <si>
    <r>
      <rPr>
        <sz val="12"/>
        <color indexed="8"/>
        <rFont val="Arial"/>
        <charset val="134"/>
      </rPr>
      <t xml:space="preserve">3. </t>
    </r>
    <r>
      <rPr>
        <sz val="12"/>
        <color indexed="8"/>
        <rFont val="宋体"/>
        <charset val="134"/>
      </rPr>
      <t>贸易和货运服务设施</t>
    </r>
  </si>
  <si>
    <r>
      <rPr>
        <sz val="12"/>
        <color indexed="8"/>
        <rFont val="Arial"/>
        <charset val="134"/>
      </rPr>
      <t xml:space="preserve">4. </t>
    </r>
    <r>
      <rPr>
        <sz val="12"/>
        <color indexed="8"/>
        <rFont val="宋体"/>
        <charset val="134"/>
      </rPr>
      <t>信息化与相关设备</t>
    </r>
  </si>
  <si>
    <r>
      <rPr>
        <sz val="12"/>
        <color indexed="8"/>
        <rFont val="Arial"/>
        <charset val="134"/>
      </rPr>
      <t xml:space="preserve">5. </t>
    </r>
    <r>
      <rPr>
        <sz val="12"/>
        <color indexed="8"/>
        <rFont val="宋体"/>
        <charset val="134"/>
      </rPr>
      <t>配套基础设施</t>
    </r>
  </si>
  <si>
    <r>
      <rPr>
        <sz val="12"/>
        <color indexed="8"/>
        <rFont val="Arial"/>
        <charset val="134"/>
      </rPr>
      <t xml:space="preserve">6. </t>
    </r>
    <r>
      <rPr>
        <sz val="12"/>
        <color indexed="8"/>
        <rFont val="宋体"/>
        <charset val="134"/>
      </rPr>
      <t>项目与能力建设咨询服务</t>
    </r>
  </si>
  <si>
    <r>
      <rPr>
        <b/>
        <sz val="12"/>
        <color indexed="8"/>
        <rFont val="宋体"/>
        <charset val="134"/>
      </rPr>
      <t>合计</t>
    </r>
    <r>
      <rPr>
        <b/>
        <sz val="12"/>
        <color indexed="8"/>
        <rFont val="Arial"/>
        <charset val="134"/>
      </rPr>
      <t xml:space="preserve"> (A)</t>
    </r>
  </si>
  <si>
    <r>
      <rPr>
        <b/>
        <sz val="12"/>
        <color indexed="8"/>
        <rFont val="Arial"/>
        <charset val="134"/>
      </rPr>
      <t xml:space="preserve">B. </t>
    </r>
    <r>
      <rPr>
        <b/>
        <sz val="12"/>
        <color rgb="FF000000"/>
        <rFont val="宋体"/>
        <charset val="134"/>
      </rPr>
      <t>不可预见费</t>
    </r>
  </si>
  <si>
    <r>
      <rPr>
        <b/>
        <sz val="12"/>
        <color indexed="8"/>
        <rFont val="Arial"/>
        <charset val="134"/>
      </rPr>
      <t xml:space="preserve">C. </t>
    </r>
    <r>
      <rPr>
        <b/>
        <sz val="12"/>
        <color indexed="8"/>
        <rFont val="宋体"/>
        <charset val="134"/>
      </rPr>
      <t>实施期财务费用</t>
    </r>
  </si>
  <si>
    <r>
      <rPr>
        <b/>
        <sz val="12"/>
        <color indexed="8"/>
        <rFont val="宋体"/>
        <charset val="134"/>
      </rPr>
      <t>总计</t>
    </r>
    <r>
      <rPr>
        <b/>
        <sz val="12"/>
        <color indexed="8"/>
        <rFont val="Arial"/>
        <charset val="134"/>
      </rPr>
      <t xml:space="preserve"> (A+B+C)</t>
    </r>
  </si>
  <si>
    <r>
      <rPr>
        <b/>
        <sz val="11"/>
        <color indexed="8"/>
        <rFont val="宋体"/>
        <charset val="134"/>
      </rPr>
      <t>金额</t>
    </r>
  </si>
  <si>
    <r>
      <rPr>
        <b/>
        <sz val="11"/>
        <color indexed="8"/>
        <rFont val="宋体"/>
        <charset val="134"/>
      </rPr>
      <t>资金来源</t>
    </r>
  </si>
  <si>
    <r>
      <rPr>
        <b/>
        <sz val="11"/>
        <color indexed="8"/>
        <rFont val="宋体"/>
        <charset val="134"/>
      </rPr>
      <t>人民币</t>
    </r>
    <r>
      <rPr>
        <b/>
        <sz val="11"/>
        <color indexed="8"/>
        <rFont val="Arial"/>
        <charset val="134"/>
      </rPr>
      <t xml:space="preserve"> (</t>
    </r>
    <r>
      <rPr>
        <b/>
        <sz val="11"/>
        <color indexed="8"/>
        <rFont val="宋体"/>
        <charset val="134"/>
      </rPr>
      <t>万元</t>
    </r>
    <r>
      <rPr>
        <b/>
        <sz val="11"/>
        <color indexed="8"/>
        <rFont val="Arial"/>
        <charset val="134"/>
      </rPr>
      <t>)</t>
    </r>
  </si>
  <si>
    <r>
      <rPr>
        <b/>
        <sz val="11"/>
        <color rgb="FF000000"/>
        <rFont val="宋体"/>
        <charset val="134"/>
      </rPr>
      <t>美元</t>
    </r>
    <r>
      <rPr>
        <b/>
        <sz val="11"/>
        <color indexed="8"/>
        <rFont val="Arial"/>
        <charset val="134"/>
      </rPr>
      <t xml:space="preserve"> (</t>
    </r>
    <r>
      <rPr>
        <b/>
        <sz val="11"/>
        <color indexed="8"/>
        <rFont val="宋体"/>
        <charset val="134"/>
      </rPr>
      <t>万元</t>
    </r>
    <r>
      <rPr>
        <b/>
        <sz val="11"/>
        <color indexed="8"/>
        <rFont val="Arial"/>
        <charset val="134"/>
      </rPr>
      <t>)</t>
    </r>
  </si>
  <si>
    <r>
      <rPr>
        <sz val="11"/>
        <color indexed="8"/>
        <rFont val="宋体"/>
        <charset val="134"/>
      </rPr>
      <t>亚投行贷款</t>
    </r>
  </si>
  <si>
    <t>配套资金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</si>
</sst>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8" formatCode="0.0%"/>
    <numFmt numFmtId="169" formatCode="#,##0.00_ "/>
    <numFmt numFmtId="170" formatCode="0_ "/>
    <numFmt numFmtId="171" formatCode="0.000_);[Red]\(0.000\)"/>
    <numFmt numFmtId="172" formatCode="0.00_ "/>
    <numFmt numFmtId="173" formatCode="0.00_);[Red]\(0.00\)"/>
    <numFmt numFmtId="174" formatCode="0.00;[Red]0.00"/>
    <numFmt numFmtId="175" formatCode="0_);[Red]\(0\)"/>
  </numFmts>
  <fonts count="152">
    <font>
      <sz val="11"/>
      <color indexed="8"/>
      <name val="宋体"/>
      <charset val="134"/>
    </font>
    <font>
      <b/>
      <sz val="12"/>
      <color indexed="8"/>
      <name val="宋体"/>
      <charset val="134"/>
    </font>
    <font>
      <b/>
      <sz val="11"/>
      <color indexed="8"/>
      <name val="宋体"/>
      <charset val="134"/>
    </font>
    <font>
      <b/>
      <sz val="12"/>
      <color indexed="8"/>
      <name val="Arial"/>
      <charset val="134"/>
    </font>
    <font>
      <sz val="10"/>
      <color indexed="8"/>
      <name val="Times New Roman"/>
      <charset val="134"/>
    </font>
    <font>
      <sz val="12"/>
      <color indexed="8"/>
      <name val="Arial"/>
      <charset val="134"/>
    </font>
    <font>
      <b/>
      <sz val="11"/>
      <color indexed="8"/>
      <name val="Arial"/>
      <charset val="134"/>
    </font>
    <font>
      <sz val="11"/>
      <color indexed="8"/>
      <name val="Arial"/>
      <charset val="134"/>
    </font>
    <font>
      <sz val="11"/>
      <color rgb="FF000000"/>
      <name val="宋体"/>
      <charset val="134"/>
    </font>
    <font>
      <b/>
      <sz val="11"/>
      <color rgb="FF000000"/>
      <name val="宋体"/>
      <charset val="134"/>
    </font>
    <font>
      <sz val="11"/>
      <color indexed="8"/>
      <name val="Arial Narrow"/>
      <charset val="134"/>
    </font>
    <font>
      <sz val="11"/>
      <color indexed="8"/>
      <name val="Times New Roman"/>
      <charset val="134"/>
    </font>
    <font>
      <b/>
      <sz val="11"/>
      <color rgb="FF000000"/>
      <name val="Times New Roman"/>
      <charset val="134"/>
    </font>
    <font>
      <sz val="11"/>
      <color rgb="FF000000"/>
      <name val="Times New Roman"/>
      <charset val="134"/>
    </font>
    <font>
      <b/>
      <sz val="11"/>
      <color indexed="8"/>
      <name val="Times New Roman"/>
      <charset val="134"/>
    </font>
    <font>
      <b/>
      <i/>
      <sz val="11"/>
      <color indexed="8"/>
      <name val="Times New Roman"/>
      <charset val="134"/>
    </font>
    <font>
      <b/>
      <u/>
      <sz val="11"/>
      <color indexed="8"/>
      <name val="Times New Roman"/>
      <charset val="134"/>
    </font>
    <font>
      <b/>
      <i/>
      <sz val="11"/>
      <color rgb="FF000000"/>
      <name val="宋体"/>
      <charset val="134"/>
    </font>
    <font>
      <b/>
      <i/>
      <sz val="11"/>
      <color indexed="8"/>
      <name val="宋体"/>
      <charset val="134"/>
    </font>
    <font>
      <sz val="10"/>
      <color indexed="8"/>
      <name val="Arial Narrow"/>
      <charset val="134"/>
    </font>
    <font>
      <b/>
      <sz val="10"/>
      <color indexed="8"/>
      <name val="Arial Narrow"/>
      <charset val="134"/>
    </font>
    <font>
      <sz val="10"/>
      <color indexed="8"/>
      <name val="宋体"/>
      <charset val="134"/>
    </font>
    <font>
      <sz val="9"/>
      <color indexed="8"/>
      <name val="Arial Narrow"/>
      <charset val="134"/>
    </font>
    <font>
      <b/>
      <sz val="9"/>
      <color indexed="8"/>
      <name val="Arial Narrow"/>
      <charset val="134"/>
    </font>
    <font>
      <b/>
      <sz val="9"/>
      <color rgb="FF000000"/>
      <name val="Arial Narrow"/>
      <charset val="134"/>
    </font>
    <font>
      <sz val="9"/>
      <color rgb="FF000000"/>
      <name val="Arial Narrow"/>
      <charset val="134"/>
    </font>
    <font>
      <b/>
      <sz val="9"/>
      <color rgb="FF000000"/>
      <name val="宋体"/>
      <charset val="134"/>
    </font>
    <font>
      <b/>
      <sz val="9"/>
      <name val="Arial Narrow"/>
      <charset val="134"/>
    </font>
    <font>
      <sz val="9"/>
      <color rgb="FFFF0000"/>
      <name val="Arial Narrow"/>
      <charset val="134"/>
    </font>
    <font>
      <sz val="9"/>
      <color rgb="FF000000"/>
      <name val="宋体"/>
      <charset val="134"/>
    </font>
    <font>
      <sz val="9"/>
      <color rgb="FFFF0000"/>
      <name val="宋体"/>
      <charset val="134"/>
    </font>
    <font>
      <sz val="9"/>
      <color indexed="8"/>
      <name val="宋体"/>
      <charset val="134"/>
    </font>
    <font>
      <b/>
      <sz val="12"/>
      <name val="宋体"/>
      <charset val="134"/>
    </font>
    <font>
      <b/>
      <sz val="12"/>
      <color rgb="FFFF0000"/>
      <name val="宋体"/>
      <charset val="134"/>
    </font>
    <font>
      <sz val="9"/>
      <name val="Times New Roman"/>
      <charset val="134"/>
    </font>
    <font>
      <b/>
      <sz val="9"/>
      <name val="Times New Roman"/>
      <charset val="134"/>
    </font>
    <font>
      <sz val="10"/>
      <name val="Times New Roman"/>
      <charset val="134"/>
    </font>
    <font>
      <b/>
      <sz val="10"/>
      <name val="Times New Roman"/>
      <charset val="134"/>
    </font>
    <font>
      <b/>
      <sz val="9"/>
      <name val="宋体"/>
      <charset val="134"/>
    </font>
    <font>
      <sz val="9"/>
      <name val="宋体"/>
      <charset val="134"/>
    </font>
    <font>
      <sz val="9"/>
      <color theme="1"/>
      <name val="Times New Roman"/>
      <charset val="134"/>
    </font>
    <font>
      <sz val="9"/>
      <name val="Times New Roman Regular"/>
      <charset val="134"/>
    </font>
    <font>
      <b/>
      <sz val="10"/>
      <name val="Arial Narrow"/>
      <charset val="134"/>
    </font>
    <font>
      <sz val="10"/>
      <name val="Arial Narrow"/>
      <charset val="134"/>
    </font>
    <font>
      <sz val="10"/>
      <color rgb="FF000000"/>
      <name val="宋体"/>
      <charset val="134"/>
    </font>
    <font>
      <b/>
      <sz val="10"/>
      <color theme="1"/>
      <name val="Arial Narrow"/>
      <charset val="134"/>
    </font>
    <font>
      <sz val="10"/>
      <color theme="1"/>
      <name val="Arial Narrow"/>
      <charset val="134"/>
    </font>
    <font>
      <sz val="10"/>
      <color rgb="FF000000"/>
      <name val="Arial Narrow"/>
      <charset val="134"/>
    </font>
    <font>
      <b/>
      <sz val="10"/>
      <color rgb="FF000000"/>
      <name val="Arial Narrow"/>
      <charset val="134"/>
    </font>
    <font>
      <sz val="10"/>
      <color rgb="FFFF0000"/>
      <name val="Arial Narrow"/>
      <charset val="134"/>
    </font>
    <font>
      <b/>
      <sz val="10"/>
      <color rgb="FFFF0000"/>
      <name val="宋体"/>
      <charset val="134"/>
    </font>
    <font>
      <sz val="10"/>
      <color theme="1"/>
      <name val="宋体"/>
      <charset val="134"/>
    </font>
    <font>
      <sz val="10"/>
      <name val="宋体"/>
      <charset val="134"/>
    </font>
    <font>
      <sz val="14"/>
      <color indexed="8"/>
      <name val="Arial"/>
      <charset val="134"/>
    </font>
    <font>
      <sz val="12"/>
      <color indexed="8"/>
      <name val="宋体"/>
      <charset val="134"/>
    </font>
    <font>
      <sz val="10"/>
      <name val="Arial"/>
      <charset val="134"/>
    </font>
    <font>
      <b/>
      <sz val="10"/>
      <name val="Arial"/>
      <charset val="134"/>
    </font>
    <font>
      <b/>
      <sz val="10"/>
      <name val="宋体"/>
      <charset val="134"/>
    </font>
    <font>
      <sz val="10"/>
      <color theme="1"/>
      <name val="Arial"/>
      <charset val="134"/>
    </font>
    <font>
      <b/>
      <sz val="10"/>
      <color theme="1"/>
      <name val="Arial"/>
      <charset val="134"/>
    </font>
    <font>
      <b/>
      <sz val="10"/>
      <color indexed="8"/>
      <name val="Arial"/>
      <charset val="134"/>
    </font>
    <font>
      <sz val="14"/>
      <name val="Arial"/>
      <charset val="134"/>
    </font>
    <font>
      <sz val="12"/>
      <name val="宋体"/>
      <charset val="134"/>
    </font>
    <font>
      <b/>
      <sz val="10.5"/>
      <color rgb="FF000000"/>
      <name val="宋体"/>
      <charset val="134"/>
    </font>
    <font>
      <b/>
      <sz val="10.5"/>
      <color rgb="FF000000"/>
      <name val="Times New Roman"/>
      <charset val="134"/>
    </font>
    <font>
      <sz val="10.5"/>
      <color rgb="FF000000"/>
      <name val="Times New Roman"/>
      <charset val="134"/>
    </font>
    <font>
      <sz val="10.5"/>
      <color rgb="FF000000"/>
      <name val="宋体"/>
      <charset val="134"/>
    </font>
    <font>
      <b/>
      <sz val="14"/>
      <color theme="1"/>
      <name val="Arial"/>
      <charset val="134"/>
    </font>
    <font>
      <i/>
      <sz val="10"/>
      <color rgb="FFFF0000"/>
      <name val="Arial"/>
      <charset val="134"/>
    </font>
    <font>
      <i/>
      <sz val="10.5"/>
      <color rgb="FFFF0000"/>
      <name val="Arial"/>
      <charset val="134"/>
    </font>
    <font>
      <sz val="10"/>
      <color rgb="FFFF0000"/>
      <name val="Arial"/>
      <charset val="134"/>
    </font>
    <font>
      <b/>
      <i/>
      <sz val="10"/>
      <color rgb="FFFF0000"/>
      <name val="Arial"/>
      <charset val="134"/>
    </font>
    <font>
      <i/>
      <sz val="10"/>
      <name val="Arial"/>
      <charset val="134"/>
    </font>
    <font>
      <sz val="10"/>
      <color theme="1"/>
      <name val="Calibri"/>
      <charset val="134"/>
      <scheme val="minor"/>
    </font>
    <font>
      <b/>
      <sz val="10"/>
      <color theme="1"/>
      <name val="等线 Light"/>
      <charset val="134"/>
    </font>
    <font>
      <b/>
      <sz val="10"/>
      <color theme="1"/>
      <name val="宋体"/>
      <charset val="134"/>
    </font>
    <font>
      <i/>
      <sz val="10"/>
      <color rgb="FFFF0000"/>
      <name val="宋体"/>
      <charset val="134"/>
    </font>
    <font>
      <sz val="14"/>
      <color indexed="8"/>
      <name val="Calibri"/>
      <charset val="134"/>
    </font>
    <font>
      <sz val="9"/>
      <name val="Arial"/>
      <charset val="134"/>
    </font>
    <font>
      <sz val="9"/>
      <color theme="1"/>
      <name val="Arial"/>
      <charset val="134"/>
    </font>
    <font>
      <sz val="9"/>
      <color indexed="8"/>
      <name val="Arial"/>
      <charset val="134"/>
    </font>
    <font>
      <b/>
      <sz val="10"/>
      <name val="Calibri"/>
      <charset val="134"/>
    </font>
    <font>
      <b/>
      <sz val="9"/>
      <name val="Arial"/>
      <charset val="134"/>
    </font>
    <font>
      <b/>
      <sz val="9"/>
      <color theme="1"/>
      <name val="Arial"/>
      <charset val="134"/>
    </font>
    <font>
      <b/>
      <sz val="9"/>
      <color indexed="8"/>
      <name val="Arial"/>
      <charset val="134"/>
    </font>
    <font>
      <sz val="9"/>
      <color theme="1"/>
      <name val="宋体"/>
      <charset val="134"/>
    </font>
    <font>
      <b/>
      <sz val="9"/>
      <color theme="1"/>
      <name val="宋体"/>
      <charset val="134"/>
    </font>
    <font>
      <b/>
      <sz val="9"/>
      <color theme="0"/>
      <name val="Arial"/>
      <charset val="134"/>
    </font>
    <font>
      <b/>
      <sz val="9"/>
      <color theme="0"/>
      <name val="宋体"/>
      <charset val="134"/>
    </font>
    <font>
      <sz val="9"/>
      <color rgb="FFFF0000"/>
      <name val="Arial"/>
      <charset val="134"/>
    </font>
    <font>
      <b/>
      <sz val="9"/>
      <color rgb="FF000000"/>
      <name val="Arial"/>
      <charset val="134"/>
    </font>
    <font>
      <b/>
      <sz val="9"/>
      <color rgb="FFFF0000"/>
      <name val="Arial"/>
      <charset val="134"/>
    </font>
    <font>
      <sz val="9"/>
      <color indexed="8"/>
      <name val="Calibri"/>
      <charset val="134"/>
    </font>
    <font>
      <i/>
      <sz val="10"/>
      <color theme="1"/>
      <name val="Arial"/>
      <charset val="134"/>
    </font>
    <font>
      <i/>
      <sz val="10.5"/>
      <color theme="1"/>
      <name val="Arial"/>
      <charset val="134"/>
    </font>
    <font>
      <b/>
      <i/>
      <sz val="10"/>
      <color theme="1"/>
      <name val="Arial"/>
      <charset val="134"/>
    </font>
    <font>
      <sz val="11"/>
      <color indexed="8"/>
      <name val="Calibri"/>
      <charset val="134"/>
    </font>
    <font>
      <b/>
      <sz val="14"/>
      <color theme="1"/>
      <name val="Calibri"/>
      <charset val="134"/>
    </font>
    <font>
      <i/>
      <sz val="10"/>
      <color theme="1"/>
      <name val="宋体"/>
      <charset val="134"/>
    </font>
    <font>
      <sz val="10"/>
      <color theme="1"/>
      <name val="等线"/>
      <charset val="134"/>
    </font>
    <font>
      <sz val="11"/>
      <name val="Times New Roman"/>
      <charset val="134"/>
    </font>
    <font>
      <b/>
      <sz val="14"/>
      <name val="Times New Roman"/>
      <charset val="134"/>
    </font>
    <font>
      <b/>
      <sz val="10"/>
      <name val="Calibri"/>
      <charset val="134"/>
      <scheme val="minor"/>
    </font>
    <font>
      <sz val="10"/>
      <name val="Calibri"/>
      <charset val="134"/>
      <scheme val="minor"/>
    </font>
    <font>
      <i/>
      <sz val="10"/>
      <name val="Calibri"/>
      <charset val="134"/>
      <scheme val="minor"/>
    </font>
    <font>
      <i/>
      <sz val="10"/>
      <name val="Times New Roman"/>
      <charset val="134"/>
    </font>
    <font>
      <sz val="11"/>
      <color theme="1"/>
      <name val="Calibri"/>
      <charset val="134"/>
      <scheme val="minor"/>
    </font>
    <font>
      <b/>
      <sz val="11"/>
      <color indexed="52"/>
      <name val="宋体"/>
      <charset val="134"/>
    </font>
    <font>
      <sz val="11"/>
      <color indexed="9"/>
      <name val="等线"/>
      <charset val="134"/>
    </font>
    <font>
      <sz val="11"/>
      <color indexed="60"/>
      <name val="宋体"/>
      <charset val="134"/>
    </font>
    <font>
      <i/>
      <sz val="11"/>
      <color indexed="23"/>
      <name val="宋体"/>
      <charset val="134"/>
    </font>
    <font>
      <sz val="11"/>
      <color indexed="9"/>
      <name val="宋体"/>
      <charset val="134"/>
    </font>
    <font>
      <b/>
      <sz val="11"/>
      <color indexed="63"/>
      <name val="宋体"/>
      <charset val="134"/>
    </font>
    <font>
      <b/>
      <sz val="11"/>
      <color indexed="9"/>
      <name val="宋体"/>
      <charset val="134"/>
    </font>
    <font>
      <b/>
      <sz val="18"/>
      <color indexed="56"/>
      <name val="宋体"/>
      <charset val="134"/>
    </font>
    <font>
      <sz val="11"/>
      <color indexed="17"/>
      <name val="宋体"/>
      <charset val="134"/>
    </font>
    <font>
      <sz val="11"/>
      <color indexed="20"/>
      <name val="宋体"/>
      <charset val="134"/>
    </font>
    <font>
      <sz val="12"/>
      <name val="Times New Roman"/>
      <charset val="134"/>
    </font>
    <font>
      <b/>
      <sz val="15"/>
      <color indexed="56"/>
      <name val="宋体"/>
      <charset val="134"/>
    </font>
    <font>
      <b/>
      <sz val="13"/>
      <color indexed="56"/>
      <name val="宋体"/>
      <charset val="134"/>
    </font>
    <font>
      <b/>
      <sz val="11"/>
      <color indexed="56"/>
      <name val="宋体"/>
      <charset val="134"/>
    </font>
    <font>
      <sz val="11"/>
      <color indexed="10"/>
      <name val="宋体"/>
      <charset val="134"/>
    </font>
    <font>
      <sz val="11"/>
      <color indexed="62"/>
      <name val="宋体"/>
      <charset val="134"/>
    </font>
    <font>
      <sz val="11"/>
      <color indexed="52"/>
      <name val="宋体"/>
      <charset val="134"/>
    </font>
    <font>
      <b/>
      <sz val="12"/>
      <color rgb="FF000000"/>
      <name val="宋体"/>
      <charset val="134"/>
    </font>
    <font>
      <b/>
      <sz val="10"/>
      <color indexed="8"/>
      <name val="仿宋"/>
      <charset val="134"/>
    </font>
    <font>
      <sz val="10"/>
      <color indexed="8"/>
      <name val="仿宋"/>
      <charset val="134"/>
    </font>
    <font>
      <b/>
      <sz val="9"/>
      <color indexed="8"/>
      <name val="宋体"/>
      <charset val="134"/>
    </font>
    <font>
      <b/>
      <sz val="10"/>
      <color theme="1"/>
      <name val="SimSun"/>
      <charset val="134"/>
    </font>
    <font>
      <b/>
      <sz val="10"/>
      <name val="宋体-简"/>
      <charset val="134"/>
    </font>
    <font>
      <sz val="10"/>
      <name val="宋体-简"/>
      <charset val="134"/>
    </font>
    <font>
      <sz val="10"/>
      <color rgb="FFFF0000"/>
      <name val="宋体"/>
      <charset val="134"/>
    </font>
    <font>
      <sz val="10"/>
      <color rgb="FFFF0000"/>
      <name val="宋体-简"/>
      <charset val="134"/>
    </font>
    <font>
      <sz val="10"/>
      <name val="Segoe UI Symbol"/>
      <charset val="134"/>
    </font>
    <font>
      <sz val="10"/>
      <color theme="1"/>
      <name val="Times New Roman"/>
      <charset val="134"/>
    </font>
    <font>
      <sz val="10"/>
      <color theme="1"/>
      <name val="SimSun"/>
      <charset val="134"/>
    </font>
    <font>
      <b/>
      <sz val="10"/>
      <name val="仿宋_GB2312"/>
      <charset val="134"/>
    </font>
    <font>
      <sz val="10"/>
      <name val="仿宋_GB2312"/>
      <charset val="134"/>
    </font>
    <font>
      <sz val="10"/>
      <color theme="1"/>
      <name val="等线 Light"/>
      <charset val="134"/>
    </font>
    <font>
      <i/>
      <sz val="10.5"/>
      <color rgb="FFFF0000"/>
      <name val="宋体"/>
      <charset val="134"/>
    </font>
    <font>
      <i/>
      <sz val="10"/>
      <color rgb="FFFF0000"/>
      <name val="等线 Light"/>
      <charset val="134"/>
    </font>
    <font>
      <sz val="10"/>
      <name val="等线 Light"/>
      <charset val="134"/>
    </font>
    <font>
      <b/>
      <i/>
      <sz val="10"/>
      <color rgb="FFFF0000"/>
      <name val="宋体"/>
      <charset val="134"/>
    </font>
    <font>
      <b/>
      <sz val="14"/>
      <color theme="1"/>
      <name val="宋体"/>
      <charset val="134"/>
    </font>
    <font>
      <b/>
      <sz val="14"/>
      <color theme="1"/>
      <name val="等线 Light"/>
      <charset val="134"/>
    </font>
    <font>
      <b/>
      <sz val="9"/>
      <color theme="1"/>
      <name val="等线"/>
      <charset val="134"/>
    </font>
    <font>
      <b/>
      <sz val="9"/>
      <name val="等线"/>
      <charset val="134"/>
    </font>
    <font>
      <sz val="10"/>
      <name val="等线"/>
      <charset val="134"/>
    </font>
    <font>
      <i/>
      <sz val="10.5"/>
      <color theme="1"/>
      <name val="宋体"/>
      <charset val="134"/>
    </font>
    <font>
      <i/>
      <sz val="10"/>
      <color theme="1"/>
      <name val="等线 Light"/>
      <charset val="134"/>
    </font>
    <font>
      <b/>
      <i/>
      <sz val="10"/>
      <color theme="1"/>
      <name val="宋体"/>
      <charset val="134"/>
    </font>
    <font>
      <sz val="11"/>
      <color indexed="8"/>
      <name val="宋体"/>
      <charset val="134"/>
    </font>
  </fonts>
  <fills count="5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7"/>
        <bgColor indexed="64"/>
      </patternFill>
    </fill>
    <fill>
      <patternFill patternType="solid">
        <fgColor theme="5" tint="0.79964598529007846"/>
        <bgColor indexed="64"/>
      </patternFill>
    </fill>
    <fill>
      <patternFill patternType="solid">
        <fgColor theme="4" tint="0.79964598529007846"/>
        <bgColor indexed="64"/>
      </patternFill>
    </fill>
    <fill>
      <patternFill patternType="solid">
        <fgColor them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66277047029022"/>
        <bgColor indexed="64"/>
      </patternFill>
    </fill>
    <fill>
      <patternFill patternType="solid">
        <fgColor rgb="FF00B0F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7" tint="0.79964598529007846"/>
        <bgColor indexed="64"/>
      </patternFill>
    </fill>
    <fill>
      <patternFill patternType="solid">
        <fgColor rgb="FF99CCFF"/>
        <bgColor indexed="64"/>
      </patternFill>
    </fill>
    <fill>
      <patternFill patternType="solid">
        <fgColor rgb="FF66FFCC"/>
        <bgColor indexed="64"/>
      </patternFill>
    </fill>
    <fill>
      <patternFill patternType="solid">
        <fgColor rgb="FF99FF66"/>
        <bgColor indexed="64"/>
      </patternFill>
    </fill>
    <fill>
      <patternFill patternType="solid">
        <fgColor rgb="FFCCFFCC"/>
        <bgColor indexed="64"/>
      </patternFill>
    </fill>
    <fill>
      <patternFill patternType="solid">
        <fgColor rgb="FFFF9999"/>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9" tint="0.79961546678060247"/>
        <bgColor indexed="64"/>
      </patternFill>
    </fill>
    <fill>
      <patternFill patternType="solid">
        <fgColor theme="9" tint="0.79964598529007846"/>
        <bgColor indexed="64"/>
      </patternFill>
    </fill>
    <fill>
      <patternFill patternType="solid">
        <fgColor rgb="FFFF66FF"/>
        <bgColor indexed="64"/>
      </patternFill>
    </fill>
    <fill>
      <patternFill patternType="solid">
        <fgColor rgb="FFFFCCFF"/>
        <bgColor indexed="64"/>
      </patternFill>
    </fill>
    <fill>
      <patternFill patternType="solid">
        <fgColor theme="9" tint="0.79967650379955446"/>
        <bgColor indexed="64"/>
      </patternFill>
    </fill>
    <fill>
      <patternFill patternType="solid">
        <fgColor theme="6" tint="0.7996765037995544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
      <patternFill patternType="solid">
        <fgColor indexed="31"/>
        <bgColor indexed="64"/>
      </patternFill>
    </fill>
    <fill>
      <patternFill patternType="solid">
        <fgColor indexed="51"/>
        <bgColor indexed="64"/>
      </patternFill>
    </fill>
    <fill>
      <patternFill patternType="solid">
        <fgColor indexed="43"/>
        <bgColor indexed="64"/>
      </patternFill>
    </fill>
    <fill>
      <patternFill patternType="solid">
        <fgColor indexed="29"/>
        <bgColor indexed="64"/>
      </patternFill>
    </fill>
    <fill>
      <patternFill patternType="solid">
        <fgColor indexed="36"/>
        <bgColor indexed="64"/>
      </patternFill>
    </fill>
    <fill>
      <patternFill patternType="solid">
        <fgColor indexed="44"/>
        <bgColor indexed="64"/>
      </patternFill>
    </fill>
    <fill>
      <patternFill patternType="solid">
        <fgColor indexed="62"/>
        <bgColor indexed="64"/>
      </patternFill>
    </fill>
    <fill>
      <patternFill patternType="solid">
        <fgColor indexed="46"/>
        <bgColor indexed="64"/>
      </patternFill>
    </fill>
    <fill>
      <patternFill patternType="solid">
        <fgColor indexed="10"/>
        <bgColor indexed="64"/>
      </patternFill>
    </fill>
    <fill>
      <patternFill patternType="solid">
        <fgColor indexed="49"/>
        <bgColor indexed="64"/>
      </patternFill>
    </fill>
    <fill>
      <patternFill patternType="solid">
        <fgColor indexed="27"/>
        <bgColor indexed="64"/>
      </patternFill>
    </fill>
    <fill>
      <patternFill patternType="solid">
        <fgColor indexed="47"/>
        <bgColor indexed="64"/>
      </patternFill>
    </fill>
    <fill>
      <patternFill patternType="solid">
        <fgColor indexed="57"/>
        <bgColor indexed="64"/>
      </patternFill>
    </fill>
    <fill>
      <patternFill patternType="solid">
        <fgColor indexed="53"/>
        <bgColor indexed="64"/>
      </patternFill>
    </fill>
    <fill>
      <patternFill patternType="solid">
        <fgColor indexed="11"/>
        <bgColor indexed="64"/>
      </patternFill>
    </fill>
    <fill>
      <patternFill patternType="solid">
        <fgColor indexed="55"/>
        <bgColor indexed="64"/>
      </patternFill>
    </fill>
    <fill>
      <patternFill patternType="solid">
        <fgColor indexed="30"/>
        <bgColor indexed="64"/>
      </patternFill>
    </fill>
    <fill>
      <patternFill patternType="solid">
        <fgColor indexed="52"/>
        <bgColor indexed="64"/>
      </patternFill>
    </fill>
    <fill>
      <patternFill patternType="solid">
        <fgColor indexed="26"/>
        <bgColor indexed="64"/>
      </patternFill>
    </fill>
  </fills>
  <borders count="58">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top/>
      <bottom style="medium">
        <color auto="1"/>
      </bottom>
      <diagonal/>
    </border>
    <border>
      <left style="medium">
        <color auto="1"/>
      </left>
      <right style="medium">
        <color auto="1"/>
      </right>
      <top/>
      <bottom style="medium">
        <color rgb="FF000000"/>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auto="1"/>
      </left>
      <right/>
      <top/>
      <bottom/>
      <diagonal/>
    </border>
    <border>
      <left/>
      <right style="medium">
        <color auto="1"/>
      </right>
      <top style="medium">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right/>
      <top style="medium">
        <color rgb="FF000000"/>
      </top>
      <bottom/>
      <diagonal/>
    </border>
    <border>
      <left style="thin">
        <color auto="1"/>
      </left>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23">
    <xf numFmtId="0" fontId="0" fillId="0" borderId="0">
      <alignment vertical="center"/>
    </xf>
    <xf numFmtId="0" fontId="151" fillId="33" borderId="0" applyNumberFormat="0" applyBorder="0" applyAlignment="0" applyProtection="0">
      <alignment vertical="center"/>
    </xf>
    <xf numFmtId="0" fontId="107" fillId="30" borderId="49" applyNumberFormat="0" applyAlignment="0" applyProtection="0">
      <alignment vertical="center"/>
    </xf>
    <xf numFmtId="0" fontId="108" fillId="34" borderId="0" applyNumberFormat="0" applyBorder="0" applyAlignment="0" applyProtection="0">
      <alignment vertical="center"/>
    </xf>
    <xf numFmtId="0" fontId="151" fillId="32" borderId="0" applyNumberFormat="0" applyBorder="0" applyAlignment="0" applyProtection="0">
      <alignment vertical="center"/>
    </xf>
    <xf numFmtId="9" fontId="151" fillId="0" borderId="0" applyFont="0" applyFill="0" applyBorder="0" applyAlignment="0" applyProtection="0">
      <alignment vertical="center"/>
    </xf>
    <xf numFmtId="0" fontId="151" fillId="31" borderId="0" applyNumberFormat="0" applyBorder="0" applyAlignment="0" applyProtection="0">
      <alignment vertical="center"/>
    </xf>
    <xf numFmtId="0" fontId="110" fillId="0" borderId="0" applyNumberFormat="0" applyFill="0" applyBorder="0" applyAlignment="0" applyProtection="0">
      <alignment vertical="center"/>
    </xf>
    <xf numFmtId="0" fontId="151" fillId="36" borderId="0" applyNumberFormat="0" applyBorder="0" applyAlignment="0" applyProtection="0">
      <alignment vertical="center"/>
    </xf>
    <xf numFmtId="0" fontId="111" fillId="36" borderId="0" applyNumberFormat="0" applyBorder="0" applyAlignment="0" applyProtection="0">
      <alignment vertical="center"/>
    </xf>
    <xf numFmtId="0" fontId="111" fillId="37" borderId="0" applyNumberFormat="0" applyBorder="0" applyAlignment="0" applyProtection="0">
      <alignment vertical="center"/>
    </xf>
    <xf numFmtId="0" fontId="151" fillId="38" borderId="0" applyNumberFormat="0" applyBorder="0" applyAlignment="0" applyProtection="0">
      <alignment vertical="center"/>
    </xf>
    <xf numFmtId="0" fontId="111" fillId="39" borderId="0" applyNumberFormat="0" applyBorder="0" applyAlignment="0" applyProtection="0">
      <alignment vertical="center"/>
    </xf>
    <xf numFmtId="0" fontId="151" fillId="33" borderId="0" applyNumberFormat="0" applyBorder="0" applyAlignment="0" applyProtection="0">
      <alignment vertical="center"/>
    </xf>
    <xf numFmtId="0" fontId="151" fillId="40" borderId="0" applyNumberFormat="0" applyBorder="0" applyAlignment="0" applyProtection="0">
      <alignment vertical="center"/>
    </xf>
    <xf numFmtId="0" fontId="111" fillId="41" borderId="0" applyNumberFormat="0" applyBorder="0" applyAlignment="0" applyProtection="0">
      <alignment vertical="center"/>
    </xf>
    <xf numFmtId="0" fontId="151" fillId="31" borderId="0" applyNumberFormat="0" applyBorder="0" applyAlignment="0" applyProtection="0">
      <alignment vertical="center"/>
    </xf>
    <xf numFmtId="0" fontId="112" fillId="30" borderId="50" applyNumberFormat="0" applyAlignment="0" applyProtection="0">
      <alignment vertical="center"/>
    </xf>
    <xf numFmtId="0" fontId="108" fillId="42" borderId="0" applyNumberFormat="0" applyBorder="0" applyAlignment="0" applyProtection="0">
      <alignment vertical="center"/>
    </xf>
    <xf numFmtId="0" fontId="109" fillId="35" borderId="0" applyNumberFormat="0" applyBorder="0" applyAlignment="0" applyProtection="0">
      <alignment vertical="center"/>
    </xf>
    <xf numFmtId="0" fontId="151" fillId="40" borderId="0" applyNumberFormat="0" applyBorder="0" applyAlignment="0" applyProtection="0">
      <alignment vertical="center"/>
    </xf>
    <xf numFmtId="0" fontId="151" fillId="32" borderId="0" applyNumberFormat="0" applyBorder="0" applyAlignment="0" applyProtection="0">
      <alignment vertical="center"/>
    </xf>
    <xf numFmtId="0" fontId="151" fillId="33" borderId="0" applyNumberFormat="0" applyBorder="0" applyAlignment="0" applyProtection="0">
      <alignment vertical="center"/>
    </xf>
    <xf numFmtId="0" fontId="151" fillId="31" borderId="0" applyNumberFormat="0" applyBorder="0" applyAlignment="0" applyProtection="0">
      <alignment vertical="center"/>
    </xf>
    <xf numFmtId="0" fontId="112" fillId="30" borderId="50" applyNumberFormat="0" applyAlignment="0" applyProtection="0">
      <alignment vertical="center"/>
    </xf>
    <xf numFmtId="0" fontId="151" fillId="40" borderId="0" applyNumberFormat="0" applyBorder="0" applyAlignment="0" applyProtection="0">
      <alignment vertical="center"/>
    </xf>
    <xf numFmtId="0" fontId="151" fillId="0" borderId="0">
      <alignment vertical="center"/>
    </xf>
    <xf numFmtId="0" fontId="151" fillId="43" borderId="0" applyNumberFormat="0" applyBorder="0" applyAlignment="0" applyProtection="0">
      <alignment vertical="center"/>
    </xf>
    <xf numFmtId="0" fontId="151" fillId="43" borderId="0" applyNumberFormat="0" applyBorder="0" applyAlignment="0" applyProtection="0">
      <alignment vertical="center"/>
    </xf>
    <xf numFmtId="0" fontId="151" fillId="44" borderId="0" applyNumberFormat="0" applyBorder="0" applyAlignment="0" applyProtection="0">
      <alignment vertical="center"/>
    </xf>
    <xf numFmtId="0" fontId="151" fillId="44" borderId="0" applyNumberFormat="0" applyBorder="0" applyAlignment="0" applyProtection="0">
      <alignment vertical="center"/>
    </xf>
    <xf numFmtId="0" fontId="151" fillId="32" borderId="0" applyNumberFormat="0" applyBorder="0" applyAlignment="0" applyProtection="0">
      <alignment vertical="center"/>
    </xf>
    <xf numFmtId="0" fontId="111" fillId="45" borderId="0" applyNumberFormat="0" applyBorder="0" applyAlignment="0" applyProtection="0">
      <alignment vertical="center"/>
    </xf>
    <xf numFmtId="0" fontId="151" fillId="40" borderId="0" applyNumberFormat="0" applyBorder="0" applyAlignment="0" applyProtection="0">
      <alignment vertical="center"/>
    </xf>
    <xf numFmtId="0" fontId="111" fillId="37" borderId="0" applyNumberFormat="0" applyBorder="0" applyAlignment="0" applyProtection="0">
      <alignment vertical="center"/>
    </xf>
    <xf numFmtId="0" fontId="151" fillId="43" borderId="0" applyNumberFormat="0" applyBorder="0" applyAlignment="0" applyProtection="0">
      <alignment vertical="center"/>
    </xf>
    <xf numFmtId="0" fontId="151" fillId="38" borderId="0" applyNumberFormat="0" applyBorder="0" applyAlignment="0" applyProtection="0">
      <alignment vertical="center"/>
    </xf>
    <xf numFmtId="0" fontId="111" fillId="42" borderId="0" applyNumberFormat="0" applyBorder="0" applyAlignment="0" applyProtection="0">
      <alignment vertical="center"/>
    </xf>
    <xf numFmtId="0" fontId="151" fillId="44" borderId="0" applyNumberFormat="0" applyBorder="0" applyAlignment="0" applyProtection="0">
      <alignment vertical="center"/>
    </xf>
    <xf numFmtId="0" fontId="111" fillId="46" borderId="0" applyNumberFormat="0" applyBorder="0" applyAlignment="0" applyProtection="0">
      <alignment vertical="center"/>
    </xf>
    <xf numFmtId="0" fontId="151" fillId="38" borderId="0" applyNumberFormat="0" applyBorder="0" applyAlignment="0" applyProtection="0">
      <alignment vertical="center"/>
    </xf>
    <xf numFmtId="0" fontId="151" fillId="36" borderId="0" applyNumberFormat="0" applyBorder="0" applyAlignment="0" applyProtection="0">
      <alignment vertical="center"/>
    </xf>
    <xf numFmtId="0" fontId="151" fillId="36" borderId="0" applyNumberFormat="0" applyBorder="0" applyAlignment="0" applyProtection="0">
      <alignment vertical="center"/>
    </xf>
    <xf numFmtId="0" fontId="151" fillId="47" borderId="0" applyNumberFormat="0" applyBorder="0" applyAlignment="0" applyProtection="0">
      <alignment vertical="center"/>
    </xf>
    <xf numFmtId="0" fontId="107" fillId="30" borderId="49" applyNumberFormat="0" applyAlignment="0" applyProtection="0">
      <alignment vertical="center"/>
    </xf>
    <xf numFmtId="0" fontId="151" fillId="47" borderId="0" applyNumberFormat="0" applyBorder="0" applyAlignment="0" applyProtection="0">
      <alignment vertical="center"/>
    </xf>
    <xf numFmtId="0" fontId="151" fillId="40" borderId="0" applyNumberFormat="0" applyBorder="0" applyAlignment="0" applyProtection="0">
      <alignment vertical="center"/>
    </xf>
    <xf numFmtId="0" fontId="113" fillId="48" borderId="51" applyNumberFormat="0" applyAlignment="0" applyProtection="0">
      <alignment vertical="center"/>
    </xf>
    <xf numFmtId="0" fontId="151" fillId="38" borderId="0" applyNumberFormat="0" applyBorder="0" applyAlignment="0" applyProtection="0">
      <alignment vertical="center"/>
    </xf>
    <xf numFmtId="0" fontId="151" fillId="38" borderId="0" applyNumberFormat="0" applyBorder="0" applyAlignment="0" applyProtection="0">
      <alignment vertical="center"/>
    </xf>
    <xf numFmtId="0" fontId="151" fillId="34" borderId="0" applyNumberFormat="0" applyBorder="0" applyAlignment="0" applyProtection="0">
      <alignment vertical="center"/>
    </xf>
    <xf numFmtId="0" fontId="109" fillId="35" borderId="0" applyNumberFormat="0" applyBorder="0" applyAlignment="0" applyProtection="0">
      <alignment vertical="center"/>
    </xf>
    <xf numFmtId="0" fontId="151" fillId="34" borderId="0" applyNumberFormat="0" applyBorder="0" applyAlignment="0" applyProtection="0">
      <alignment vertical="center"/>
    </xf>
    <xf numFmtId="0" fontId="151" fillId="47" borderId="0" applyNumberFormat="0" applyBorder="0" applyAlignment="0" applyProtection="0">
      <alignment vertical="center"/>
    </xf>
    <xf numFmtId="0" fontId="114" fillId="0" borderId="0" applyNumberFormat="0" applyFill="0" applyBorder="0" applyAlignment="0" applyProtection="0">
      <alignment vertical="center"/>
    </xf>
    <xf numFmtId="0" fontId="151" fillId="40" borderId="0" applyNumberFormat="0" applyBorder="0" applyAlignment="0" applyProtection="0">
      <alignment vertical="center"/>
    </xf>
    <xf numFmtId="0" fontId="151" fillId="38" borderId="0" applyNumberFormat="0" applyBorder="0" applyAlignment="0" applyProtection="0">
      <alignment vertical="center"/>
    </xf>
    <xf numFmtId="0" fontId="151" fillId="34" borderId="0" applyNumberFormat="0" applyBorder="0" applyAlignment="0" applyProtection="0">
      <alignment vertical="center"/>
    </xf>
    <xf numFmtId="0" fontId="111" fillId="49" borderId="0" applyNumberFormat="0" applyBorder="0" applyAlignment="0" applyProtection="0">
      <alignment vertical="center"/>
    </xf>
    <xf numFmtId="0" fontId="111" fillId="49" borderId="0" applyNumberFormat="0" applyBorder="0" applyAlignment="0" applyProtection="0">
      <alignment vertical="center"/>
    </xf>
    <xf numFmtId="0" fontId="108" fillId="45" borderId="0" applyNumberFormat="0" applyBorder="0" applyAlignment="0" applyProtection="0">
      <alignment vertical="center"/>
    </xf>
    <xf numFmtId="0" fontId="111" fillId="36" borderId="0" applyNumberFormat="0" applyBorder="0" applyAlignment="0" applyProtection="0">
      <alignment vertical="center"/>
    </xf>
    <xf numFmtId="0" fontId="62" fillId="0" borderId="0"/>
    <xf numFmtId="0" fontId="111" fillId="47" borderId="0" applyNumberFormat="0" applyBorder="0" applyAlignment="0" applyProtection="0">
      <alignment vertical="center"/>
    </xf>
    <xf numFmtId="0" fontId="111" fillId="47" borderId="0" applyNumberFormat="0" applyBorder="0" applyAlignment="0" applyProtection="0">
      <alignment vertical="center"/>
    </xf>
    <xf numFmtId="0" fontId="111" fillId="37" borderId="0" applyNumberFormat="0" applyBorder="0" applyAlignment="0" applyProtection="0">
      <alignment vertical="center"/>
    </xf>
    <xf numFmtId="0" fontId="111" fillId="37" borderId="0" applyNumberFormat="0" applyBorder="0" applyAlignment="0" applyProtection="0">
      <alignment vertical="center"/>
    </xf>
    <xf numFmtId="0" fontId="111" fillId="42" borderId="0" applyNumberFormat="0" applyBorder="0" applyAlignment="0" applyProtection="0">
      <alignment vertical="center"/>
    </xf>
    <xf numFmtId="0" fontId="111" fillId="42" borderId="0" applyNumberFormat="0" applyBorder="0" applyAlignment="0" applyProtection="0">
      <alignment vertical="center"/>
    </xf>
    <xf numFmtId="0" fontId="111" fillId="50" borderId="0" applyNumberFormat="0" applyBorder="0" applyAlignment="0" applyProtection="0">
      <alignment vertical="center"/>
    </xf>
    <xf numFmtId="0" fontId="111" fillId="50" borderId="0" applyNumberFormat="0" applyBorder="0" applyAlignment="0" applyProtection="0">
      <alignment vertical="center"/>
    </xf>
    <xf numFmtId="0" fontId="111" fillId="49" borderId="0" applyNumberFormat="0" applyBorder="0" applyAlignment="0" applyProtection="0">
      <alignment vertical="center"/>
    </xf>
    <xf numFmtId="0" fontId="111" fillId="36" borderId="0" applyNumberFormat="0" applyBorder="0" applyAlignment="0" applyProtection="0">
      <alignment vertical="center"/>
    </xf>
    <xf numFmtId="0" fontId="111" fillId="47" borderId="0" applyNumberFormat="0" applyBorder="0" applyAlignment="0" applyProtection="0">
      <alignment vertical="center"/>
    </xf>
    <xf numFmtId="0" fontId="111" fillId="42" borderId="0" applyNumberFormat="0" applyBorder="0" applyAlignment="0" applyProtection="0">
      <alignment vertical="center"/>
    </xf>
    <xf numFmtId="0" fontId="111" fillId="50" borderId="0" applyNumberFormat="0" applyBorder="0" applyAlignment="0" applyProtection="0">
      <alignment vertical="center"/>
    </xf>
    <xf numFmtId="0" fontId="115" fillId="32" borderId="0" applyNumberFormat="0" applyBorder="0" applyAlignment="0" applyProtection="0">
      <alignment vertical="center"/>
    </xf>
    <xf numFmtId="0" fontId="115" fillId="32" borderId="0" applyNumberFormat="0" applyBorder="0" applyAlignment="0" applyProtection="0">
      <alignment vertical="center"/>
    </xf>
    <xf numFmtId="0" fontId="116" fillId="31" borderId="0" applyNumberFormat="0" applyBorder="0" applyAlignment="0" applyProtection="0">
      <alignment vertical="center"/>
    </xf>
    <xf numFmtId="0" fontId="116" fillId="31" borderId="0" applyNumberFormat="0" applyBorder="0" applyAlignment="0" applyProtection="0">
      <alignment vertical="center"/>
    </xf>
    <xf numFmtId="0" fontId="151" fillId="0" borderId="0">
      <alignment vertical="center"/>
    </xf>
    <xf numFmtId="0" fontId="151" fillId="0" borderId="0">
      <alignment vertical="center"/>
    </xf>
    <xf numFmtId="0" fontId="151" fillId="0" borderId="0"/>
    <xf numFmtId="0" fontId="106" fillId="0" borderId="0">
      <alignment vertical="center"/>
    </xf>
    <xf numFmtId="0" fontId="106" fillId="0" borderId="0">
      <alignment vertical="center"/>
    </xf>
    <xf numFmtId="0" fontId="117" fillId="0" borderId="0"/>
    <xf numFmtId="0" fontId="111" fillId="39" borderId="0" applyNumberFormat="0" applyBorder="0" applyAlignment="0" applyProtection="0">
      <alignment vertical="center"/>
    </xf>
    <xf numFmtId="0" fontId="111" fillId="39" borderId="0" applyNumberFormat="0" applyBorder="0" applyAlignment="0" applyProtection="0">
      <alignment vertical="center"/>
    </xf>
    <xf numFmtId="0" fontId="111" fillId="41" borderId="0" applyNumberFormat="0" applyBorder="0" applyAlignment="0" applyProtection="0">
      <alignment vertical="center"/>
    </xf>
    <xf numFmtId="0" fontId="111" fillId="41" borderId="0" applyNumberFormat="0" applyBorder="0" applyAlignment="0" applyProtection="0">
      <alignment vertical="center"/>
    </xf>
    <xf numFmtId="0" fontId="111" fillId="45" borderId="0" applyNumberFormat="0" applyBorder="0" applyAlignment="0" applyProtection="0">
      <alignment vertical="center"/>
    </xf>
    <xf numFmtId="0" fontId="111" fillId="45" borderId="0" applyNumberFormat="0" applyBorder="0" applyAlignment="0" applyProtection="0">
      <alignment vertical="center"/>
    </xf>
    <xf numFmtId="0" fontId="111" fillId="37" borderId="0" applyNumberFormat="0" applyBorder="0" applyAlignment="0" applyProtection="0">
      <alignment vertical="center"/>
    </xf>
    <xf numFmtId="0" fontId="111" fillId="37" borderId="0" applyNumberFormat="0" applyBorder="0" applyAlignment="0" applyProtection="0">
      <alignment vertical="center"/>
    </xf>
    <xf numFmtId="0" fontId="111" fillId="42" borderId="0" applyNumberFormat="0" applyBorder="0" applyAlignment="0" applyProtection="0">
      <alignment vertical="center"/>
    </xf>
    <xf numFmtId="0" fontId="111" fillId="42" borderId="0" applyNumberFormat="0" applyBorder="0" applyAlignment="0" applyProtection="0">
      <alignment vertical="center"/>
    </xf>
    <xf numFmtId="0" fontId="111" fillId="46" borderId="0" applyNumberFormat="0" applyBorder="0" applyAlignment="0" applyProtection="0">
      <alignment vertical="center"/>
    </xf>
    <xf numFmtId="0" fontId="111" fillId="46" borderId="0" applyNumberFormat="0" applyBorder="0" applyAlignment="0" applyProtection="0">
      <alignment vertical="center"/>
    </xf>
    <xf numFmtId="0" fontId="117" fillId="0" borderId="0">
      <alignment vertical="center"/>
    </xf>
    <xf numFmtId="0" fontId="118" fillId="0" borderId="52" applyNumberFormat="0" applyFill="0" applyAlignment="0" applyProtection="0">
      <alignment vertical="center"/>
    </xf>
    <xf numFmtId="0" fontId="118" fillId="0" borderId="52" applyNumberFormat="0" applyFill="0" applyAlignment="0" applyProtection="0">
      <alignment vertical="center"/>
    </xf>
    <xf numFmtId="0" fontId="119" fillId="0" borderId="53" applyNumberFormat="0" applyFill="0" applyAlignment="0" applyProtection="0">
      <alignment vertical="center"/>
    </xf>
    <xf numFmtId="0" fontId="119" fillId="0" borderId="53" applyNumberFormat="0" applyFill="0" applyAlignment="0" applyProtection="0">
      <alignment vertical="center"/>
    </xf>
    <xf numFmtId="0" fontId="120" fillId="0" borderId="54" applyNumberFormat="0" applyFill="0" applyAlignment="0" applyProtection="0">
      <alignment vertical="center"/>
    </xf>
    <xf numFmtId="0" fontId="120" fillId="0" borderId="54" applyNumberFormat="0" applyFill="0" applyAlignment="0" applyProtection="0">
      <alignment vertical="center"/>
    </xf>
    <xf numFmtId="0" fontId="120" fillId="0" borderId="0" applyNumberFormat="0" applyFill="0" applyBorder="0" applyAlignment="0" applyProtection="0">
      <alignment vertical="center"/>
    </xf>
    <xf numFmtId="0" fontId="120"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3" fillId="48" borderId="51" applyNumberFormat="0" applyAlignment="0" applyProtection="0">
      <alignment vertical="center"/>
    </xf>
    <xf numFmtId="0" fontId="2" fillId="0" borderId="55" applyNumberFormat="0" applyFill="0" applyAlignment="0" applyProtection="0">
      <alignment vertical="center"/>
    </xf>
    <xf numFmtId="0" fontId="2" fillId="0" borderId="55" applyNumberFormat="0" applyFill="0" applyAlignment="0" applyProtection="0">
      <alignment vertical="center"/>
    </xf>
    <xf numFmtId="0" fontId="151" fillId="51" borderId="56" applyNumberFormat="0" applyFont="0" applyAlignment="0" applyProtection="0">
      <alignment vertical="center"/>
    </xf>
    <xf numFmtId="0" fontId="151" fillId="51" borderId="56" applyNumberFormat="0" applyFont="0" applyAlignment="0" applyProtection="0">
      <alignment vertical="center"/>
    </xf>
    <xf numFmtId="0" fontId="108" fillId="39" borderId="0" applyNumberFormat="0" applyBorder="0" applyAlignment="0" applyProtection="0">
      <alignment vertical="center"/>
    </xf>
    <xf numFmtId="0" fontId="108" fillId="46" borderId="0" applyNumberFormat="0" applyBorder="0" applyAlignment="0" applyProtection="0">
      <alignment vertical="center"/>
    </xf>
    <xf numFmtId="0" fontId="108" fillId="48" borderId="0" applyNumberFormat="0" applyBorder="0" applyAlignment="0" applyProtection="0">
      <alignment vertical="center"/>
    </xf>
    <xf numFmtId="0" fontId="110" fillId="0" borderId="0" applyNumberFormat="0" applyFill="0" applyBorder="0" applyAlignment="0" applyProtection="0">
      <alignment vertical="center"/>
    </xf>
    <xf numFmtId="0" fontId="121" fillId="0" borderId="0" applyNumberFormat="0" applyFill="0" applyBorder="0" applyAlignment="0" applyProtection="0">
      <alignment vertical="center"/>
    </xf>
    <xf numFmtId="0" fontId="121" fillId="0" borderId="0" applyNumberFormat="0" applyFill="0" applyBorder="0" applyAlignment="0" applyProtection="0">
      <alignment vertical="center"/>
    </xf>
    <xf numFmtId="0" fontId="122" fillId="44" borderId="49" applyNumberFormat="0" applyAlignment="0" applyProtection="0">
      <alignment vertical="center"/>
    </xf>
    <xf numFmtId="0" fontId="122" fillId="44" borderId="49" applyNumberFormat="0" applyAlignment="0" applyProtection="0">
      <alignment vertical="center"/>
    </xf>
    <xf numFmtId="0" fontId="123" fillId="0" borderId="57" applyNumberFormat="0" applyFill="0" applyAlignment="0" applyProtection="0">
      <alignment vertical="center"/>
    </xf>
    <xf numFmtId="0" fontId="123" fillId="0" borderId="57" applyNumberFormat="0" applyFill="0" applyAlignment="0" applyProtection="0">
      <alignment vertical="center"/>
    </xf>
  </cellStyleXfs>
  <cellXfs count="1290">
    <xf numFmtId="0" fontId="0" fillId="0" borderId="0" xfId="0">
      <alignment vertical="center"/>
    </xf>
    <xf numFmtId="0" fontId="1" fillId="0" borderId="1" xfId="0" applyFont="1" applyBorder="1" applyAlignment="1">
      <alignment horizontal="justify" vertical="center"/>
    </xf>
    <xf numFmtId="0" fontId="1" fillId="0" borderId="3" xfId="0" applyFont="1" applyBorder="1" applyAlignment="1">
      <alignment horizontal="center" vertical="center"/>
    </xf>
    <xf numFmtId="0" fontId="1" fillId="0" borderId="2" xfId="0" applyFont="1" applyBorder="1" applyAlignment="1">
      <alignment horizontal="right" vertical="center"/>
    </xf>
    <xf numFmtId="0" fontId="2" fillId="0" borderId="2" xfId="0" applyFont="1" applyBorder="1" applyAlignment="1">
      <alignment horizontal="right" vertical="center"/>
    </xf>
    <xf numFmtId="0" fontId="3" fillId="0" borderId="0" xfId="0" applyFont="1" applyAlignment="1">
      <alignment horizontal="justify" vertical="center"/>
    </xf>
    <xf numFmtId="0" fontId="4" fillId="0" borderId="0" xfId="0" applyFont="1" applyAlignment="1"/>
    <xf numFmtId="0" fontId="5" fillId="0" borderId="0" xfId="0" applyFont="1" applyAlignment="1">
      <alignment horizontal="justify" vertical="center"/>
    </xf>
    <xf numFmtId="4" fontId="5" fillId="0" borderId="0" xfId="0" applyNumberFormat="1" applyFont="1" applyAlignment="1">
      <alignment horizontal="right" vertical="center"/>
    </xf>
    <xf numFmtId="0" fontId="1" fillId="0" borderId="0" xfId="0" applyFont="1" applyAlignment="1">
      <alignment horizontal="right" vertical="center"/>
    </xf>
    <xf numFmtId="4" fontId="3" fillId="0" borderId="0" xfId="0" applyNumberFormat="1" applyFont="1" applyAlignment="1">
      <alignment horizontal="right" vertical="center"/>
    </xf>
    <xf numFmtId="169" fontId="3" fillId="0" borderId="0" xfId="0" applyNumberFormat="1" applyFont="1" applyAlignment="1">
      <alignment horizontal="right" vertical="center"/>
    </xf>
    <xf numFmtId="0" fontId="1" fillId="0" borderId="3" xfId="0" applyFont="1" applyBorder="1" applyAlignment="1">
      <alignment horizontal="right" vertical="center"/>
    </xf>
    <xf numFmtId="169" fontId="3" fillId="0" borderId="3" xfId="0" applyNumberFormat="1" applyFont="1" applyBorder="1" applyAlignment="1">
      <alignment horizontal="right" vertical="center"/>
    </xf>
    <xf numFmtId="4" fontId="3" fillId="0" borderId="3" xfId="0" applyNumberFormat="1" applyFont="1" applyBorder="1" applyAlignment="1">
      <alignment horizontal="right" vertical="center"/>
    </xf>
    <xf numFmtId="0" fontId="6" fillId="0" borderId="1" xfId="0" applyFont="1" applyBorder="1" applyAlignment="1">
      <alignment horizontal="center" vertical="center"/>
    </xf>
    <xf numFmtId="0" fontId="2" fillId="0" borderId="1" xfId="0" applyFont="1" applyBorder="1">
      <alignment vertical="center"/>
    </xf>
    <xf numFmtId="0" fontId="6" fillId="0" borderId="3" xfId="0" applyFont="1" applyBorder="1" applyAlignment="1">
      <alignment horizontal="center" vertical="center"/>
    </xf>
    <xf numFmtId="0" fontId="6" fillId="0" borderId="2" xfId="0" applyFont="1" applyBorder="1" applyAlignment="1">
      <alignment horizontal="right" vertical="center"/>
    </xf>
    <xf numFmtId="0" fontId="2" fillId="0" borderId="3" xfId="0" applyFont="1" applyBorder="1" applyAlignment="1">
      <alignment horizontal="right" vertical="center"/>
    </xf>
    <xf numFmtId="0" fontId="7" fillId="0" borderId="0" xfId="0" applyFont="1">
      <alignment vertical="center"/>
    </xf>
    <xf numFmtId="169" fontId="7" fillId="0" borderId="0" xfId="0" applyNumberFormat="1" applyFont="1">
      <alignment vertical="center"/>
    </xf>
    <xf numFmtId="168" fontId="7" fillId="0" borderId="0" xfId="0" applyNumberFormat="1" applyFont="1">
      <alignment vertical="center"/>
    </xf>
    <xf numFmtId="0" fontId="8" fillId="0" borderId="0" xfId="0" applyFont="1">
      <alignment vertical="center"/>
    </xf>
    <xf numFmtId="0" fontId="9" fillId="0" borderId="3" xfId="0" applyFont="1" applyBorder="1" applyAlignment="1">
      <alignment horizontal="center" vertical="center"/>
    </xf>
    <xf numFmtId="169" fontId="6" fillId="0" borderId="3" xfId="0" applyNumberFormat="1" applyFont="1" applyBorder="1">
      <alignment vertical="center"/>
    </xf>
    <xf numFmtId="168" fontId="6" fillId="0" borderId="3" xfId="0" applyNumberFormat="1" applyFont="1" applyBorder="1">
      <alignment vertical="center"/>
    </xf>
    <xf numFmtId="169" fontId="0" fillId="0" borderId="0" xfId="0" applyNumberFormat="1">
      <alignment vertical="center"/>
    </xf>
    <xf numFmtId="0" fontId="10" fillId="0" borderId="0" xfId="0" applyFont="1">
      <alignment vertical="center"/>
    </xf>
    <xf numFmtId="0" fontId="11" fillId="0" borderId="0" xfId="0" applyFont="1">
      <alignmen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13" fillId="0" borderId="8" xfId="0" applyFont="1" applyBorder="1" applyAlignment="1">
      <alignment horizontal="center" vertical="center"/>
    </xf>
    <xf numFmtId="0" fontId="8" fillId="0" borderId="9" xfId="0" applyFont="1" applyBorder="1" applyAlignment="1">
      <alignment horizontal="center" vertical="center"/>
    </xf>
    <xf numFmtId="0" fontId="13" fillId="0" borderId="9" xfId="0" applyFont="1" applyBorder="1" applyAlignment="1">
      <alignment horizontal="center" vertical="center"/>
    </xf>
    <xf numFmtId="0" fontId="8" fillId="0" borderId="9" xfId="0" applyFont="1" applyBorder="1" applyAlignment="1">
      <alignment horizontal="center" vertical="center" wrapText="1"/>
    </xf>
    <xf numFmtId="0" fontId="12" fillId="0" borderId="9" xfId="0" applyFont="1" applyBorder="1" applyAlignment="1">
      <alignment horizontal="justify" vertical="center"/>
    </xf>
    <xf numFmtId="0" fontId="0" fillId="0" borderId="9" xfId="0" applyBorder="1" applyAlignment="1">
      <alignment horizontal="center" vertical="center"/>
    </xf>
    <xf numFmtId="0" fontId="9" fillId="0" borderId="9" xfId="0" applyFont="1" applyBorder="1" applyAlignment="1">
      <alignment horizontal="left" vertical="center"/>
    </xf>
    <xf numFmtId="0" fontId="8" fillId="0" borderId="9" xfId="0" applyFont="1" applyBorder="1" applyAlignment="1">
      <alignment horizontal="left" vertical="center"/>
    </xf>
    <xf numFmtId="0" fontId="8" fillId="0" borderId="9" xfId="0" applyFont="1" applyBorder="1" applyAlignment="1">
      <alignment horizontal="left" vertical="center" wrapText="1"/>
    </xf>
    <xf numFmtId="0" fontId="9" fillId="0" borderId="10" xfId="0" applyFont="1" applyBorder="1" applyAlignment="1">
      <alignment horizontal="center" vertical="center"/>
    </xf>
    <xf numFmtId="169" fontId="14" fillId="0" borderId="0" xfId="0" applyNumberFormat="1" applyFont="1">
      <alignment vertical="center"/>
    </xf>
    <xf numFmtId="0" fontId="12" fillId="0" borderId="10" xfId="0" applyFont="1" applyBorder="1" applyAlignment="1">
      <alignment horizontal="center" vertical="center"/>
    </xf>
    <xf numFmtId="169" fontId="11" fillId="0" borderId="0" xfId="0" applyNumberFormat="1" applyFont="1">
      <alignment vertical="center"/>
    </xf>
    <xf numFmtId="169" fontId="15" fillId="0" borderId="0" xfId="0" applyNumberFormat="1" applyFont="1">
      <alignment vertical="center"/>
    </xf>
    <xf numFmtId="169" fontId="11" fillId="2" borderId="0" xfId="0" applyNumberFormat="1" applyFont="1" applyFill="1">
      <alignment vertical="center"/>
    </xf>
    <xf numFmtId="169" fontId="16" fillId="3" borderId="0" xfId="0" applyNumberFormat="1" applyFont="1" applyFill="1">
      <alignment vertical="center"/>
    </xf>
    <xf numFmtId="0" fontId="17" fillId="0" borderId="0" xfId="0" applyFont="1" applyAlignment="1">
      <alignment horizontal="right" vertical="center"/>
    </xf>
    <xf numFmtId="0" fontId="17" fillId="0" borderId="0" xfId="0" applyFont="1">
      <alignment vertical="center"/>
    </xf>
    <xf numFmtId="0" fontId="9" fillId="0" borderId="10" xfId="0" applyFont="1" applyBorder="1" applyAlignment="1">
      <alignment horizontal="left" vertical="center"/>
    </xf>
    <xf numFmtId="169" fontId="14" fillId="2" borderId="0" xfId="0" applyNumberFormat="1" applyFont="1" applyFill="1">
      <alignment vertical="center"/>
    </xf>
    <xf numFmtId="0" fontId="13" fillId="0" borderId="10" xfId="0" applyFont="1" applyBorder="1" applyAlignment="1">
      <alignment horizontal="center" vertical="center"/>
    </xf>
    <xf numFmtId="0" fontId="8" fillId="4" borderId="10" xfId="0" applyFont="1" applyFill="1" applyBorder="1" applyAlignment="1">
      <alignment horizontal="left" vertical="center"/>
    </xf>
    <xf numFmtId="0" fontId="8" fillId="5" borderId="10" xfId="0" applyFont="1" applyFill="1" applyBorder="1" applyAlignment="1">
      <alignment horizontal="left" vertical="center"/>
    </xf>
    <xf numFmtId="0" fontId="8" fillId="6" borderId="10" xfId="0" applyFont="1" applyFill="1" applyBorder="1" applyAlignment="1">
      <alignment horizontal="left" vertical="center"/>
    </xf>
    <xf numFmtId="169" fontId="11" fillId="6" borderId="0" xfId="0" applyNumberFormat="1" applyFont="1" applyFill="1">
      <alignment vertical="center"/>
    </xf>
    <xf numFmtId="0" fontId="8" fillId="7" borderId="10" xfId="0" applyFont="1" applyFill="1" applyBorder="1" applyAlignment="1">
      <alignment horizontal="left" vertical="center"/>
    </xf>
    <xf numFmtId="0" fontId="13" fillId="0" borderId="10" xfId="0" applyFont="1" applyBorder="1" applyAlignment="1">
      <alignment horizontal="right" vertical="center"/>
    </xf>
    <xf numFmtId="0" fontId="8" fillId="0" borderId="10" xfId="0" applyFont="1" applyBorder="1" applyAlignment="1">
      <alignment horizontal="left" vertical="center"/>
    </xf>
    <xf numFmtId="169" fontId="10" fillId="0" borderId="0" xfId="0" applyNumberFormat="1" applyFont="1">
      <alignment vertical="center"/>
    </xf>
    <xf numFmtId="0" fontId="13" fillId="0" borderId="9" xfId="0" applyFont="1" applyBorder="1" applyAlignment="1">
      <alignment horizontal="left" vertical="center"/>
    </xf>
    <xf numFmtId="0" fontId="13" fillId="0" borderId="9" xfId="0" applyFont="1" applyBorder="1" applyAlignment="1">
      <alignment horizontal="justify" vertical="center"/>
    </xf>
    <xf numFmtId="0" fontId="18" fillId="0" borderId="0" xfId="0" applyFont="1">
      <alignment vertical="center"/>
    </xf>
    <xf numFmtId="0" fontId="8" fillId="8" borderId="10" xfId="0" applyFont="1" applyFill="1" applyBorder="1" applyAlignment="1">
      <alignment horizontal="left" vertical="center" wrapText="1"/>
    </xf>
    <xf numFmtId="0" fontId="8" fillId="8" borderId="10" xfId="0" applyFont="1" applyFill="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justify" vertical="center"/>
    </xf>
    <xf numFmtId="169" fontId="15" fillId="6" borderId="0" xfId="0" applyNumberFormat="1" applyFont="1" applyFill="1">
      <alignment vertical="center"/>
    </xf>
    <xf numFmtId="0" fontId="15" fillId="5" borderId="0" xfId="0" applyFont="1" applyFill="1">
      <alignment vertical="center"/>
    </xf>
    <xf numFmtId="0" fontId="9" fillId="0" borderId="11" xfId="0" applyFont="1" applyBorder="1" applyAlignment="1">
      <alignment horizontal="left" vertical="center"/>
    </xf>
    <xf numFmtId="0" fontId="12" fillId="0" borderId="0" xfId="0" applyFont="1" applyAlignment="1">
      <alignment horizontal="right" vertical="center"/>
    </xf>
    <xf numFmtId="0" fontId="8" fillId="0" borderId="11" xfId="0" applyFont="1" applyBorder="1" applyAlignment="1">
      <alignment horizontal="left" vertical="center"/>
    </xf>
    <xf numFmtId="0" fontId="13" fillId="0" borderId="0" xfId="0" applyFont="1" applyAlignment="1">
      <alignment horizontal="right" vertical="center"/>
    </xf>
    <xf numFmtId="169" fontId="11" fillId="0" borderId="0" xfId="0" applyNumberFormat="1" applyFont="1" applyAlignment="1">
      <alignment horizontal="right" vertical="center"/>
    </xf>
    <xf numFmtId="0" fontId="13" fillId="0" borderId="0" xfId="0" applyFont="1" applyAlignment="1">
      <alignment horizontal="left" vertical="center"/>
    </xf>
    <xf numFmtId="169" fontId="15" fillId="9" borderId="0" xfId="0" applyNumberFormat="1" applyFont="1" applyFill="1">
      <alignment vertical="center"/>
    </xf>
    <xf numFmtId="0" fontId="19" fillId="0" borderId="0" xfId="0" applyFont="1">
      <alignment vertical="center"/>
    </xf>
    <xf numFmtId="0" fontId="20" fillId="0" borderId="0" xfId="0" applyFont="1">
      <alignment vertical="center"/>
    </xf>
    <xf numFmtId="0" fontId="20" fillId="0" borderId="12" xfId="0" applyFont="1" applyBorder="1" applyAlignment="1">
      <alignment vertical="center" wrapText="1"/>
    </xf>
    <xf numFmtId="0" fontId="20" fillId="0" borderId="13" xfId="0" applyFont="1" applyBorder="1" applyAlignment="1">
      <alignment vertical="center" wrapText="1"/>
    </xf>
    <xf numFmtId="0" fontId="20" fillId="0" borderId="17" xfId="0" applyFont="1" applyBorder="1" applyAlignment="1">
      <alignment vertical="center" wrapText="1"/>
    </xf>
    <xf numFmtId="0" fontId="20" fillId="0" borderId="18" xfId="0" applyFont="1" applyBorder="1" applyAlignment="1">
      <alignment horizontal="left" vertical="center" wrapText="1" indent="2"/>
    </xf>
    <xf numFmtId="0" fontId="20" fillId="0" borderId="12" xfId="0" applyFont="1" applyBorder="1" applyAlignment="1">
      <alignment horizontal="right" vertical="center" wrapText="1"/>
    </xf>
    <xf numFmtId="0" fontId="20" fillId="0" borderId="18" xfId="0" applyFont="1" applyBorder="1" applyAlignment="1">
      <alignment horizontal="center" vertical="center" wrapText="1"/>
    </xf>
    <xf numFmtId="0" fontId="20" fillId="0" borderId="12" xfId="0" applyFont="1" applyBorder="1" applyAlignment="1">
      <alignment horizontal="center" vertical="center" wrapText="1"/>
    </xf>
    <xf numFmtId="0" fontId="19" fillId="0" borderId="20" xfId="0" applyFont="1" applyBorder="1" applyAlignment="1">
      <alignment vertical="top" wrapText="1"/>
    </xf>
    <xf numFmtId="0" fontId="19" fillId="0" borderId="21" xfId="0" applyFont="1" applyBorder="1" applyAlignment="1">
      <alignment vertical="top" wrapText="1"/>
    </xf>
    <xf numFmtId="0" fontId="20" fillId="0" borderId="20" xfId="0" applyFont="1" applyBorder="1" applyAlignment="1">
      <alignment horizontal="right" vertical="center" wrapText="1"/>
    </xf>
    <xf numFmtId="0" fontId="20" fillId="0" borderId="2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7" xfId="0" applyFont="1" applyBorder="1" applyAlignment="1">
      <alignment horizontal="right" vertical="center" wrapText="1"/>
    </xf>
    <xf numFmtId="0" fontId="20" fillId="0" borderId="21" xfId="0" applyFont="1" applyBorder="1" applyAlignment="1">
      <alignment horizontal="right" vertical="center" wrapText="1"/>
    </xf>
    <xf numFmtId="0" fontId="19" fillId="0" borderId="21" xfId="0" applyFont="1" applyBorder="1" applyAlignment="1">
      <alignment vertical="center" wrapText="1"/>
    </xf>
    <xf numFmtId="0" fontId="19" fillId="0" borderId="20" xfId="0" applyFont="1" applyBorder="1" applyAlignment="1">
      <alignment vertical="center" wrapText="1"/>
    </xf>
    <xf numFmtId="0" fontId="19" fillId="0" borderId="21" xfId="0" applyFont="1" applyBorder="1" applyAlignment="1">
      <alignment horizontal="center" vertical="center" wrapText="1"/>
    </xf>
    <xf numFmtId="0" fontId="19" fillId="0" borderId="21" xfId="0" applyFont="1" applyBorder="1" applyAlignment="1">
      <alignment horizontal="right" vertical="center" wrapText="1"/>
    </xf>
    <xf numFmtId="0" fontId="19" fillId="0" borderId="20" xfId="0" applyFont="1" applyBorder="1" applyAlignment="1">
      <alignment horizontal="right" vertical="center" wrapText="1"/>
    </xf>
    <xf numFmtId="0" fontId="19" fillId="0" borderId="21" xfId="0" applyFont="1" applyBorder="1" applyAlignment="1">
      <alignment horizontal="left" vertical="center" wrapText="1" indent="1"/>
    </xf>
    <xf numFmtId="0" fontId="19" fillId="0" borderId="12" xfId="0" applyFont="1" applyBorder="1" applyAlignment="1">
      <alignment vertical="center" wrapText="1"/>
    </xf>
    <xf numFmtId="0" fontId="19" fillId="0" borderId="12" xfId="0" applyFont="1" applyBorder="1" applyAlignment="1">
      <alignment horizontal="center" vertical="center" wrapText="1"/>
    </xf>
    <xf numFmtId="0" fontId="19" fillId="0" borderId="12" xfId="0" applyFont="1" applyBorder="1" applyAlignment="1">
      <alignment horizontal="right" vertical="center" wrapText="1"/>
    </xf>
    <xf numFmtId="0" fontId="20" fillId="0" borderId="18" xfId="0" applyFont="1" applyBorder="1" applyAlignment="1">
      <alignment vertical="center" wrapText="1"/>
    </xf>
    <xf numFmtId="0" fontId="20" fillId="0" borderId="21" xfId="0" applyFont="1" applyBorder="1" applyAlignment="1">
      <alignment vertical="center" wrapText="1"/>
    </xf>
    <xf numFmtId="0" fontId="19" fillId="0" borderId="18" xfId="0" applyFont="1" applyBorder="1" applyAlignment="1">
      <alignment vertical="center" wrapText="1"/>
    </xf>
    <xf numFmtId="0" fontId="20" fillId="0" borderId="23" xfId="0" applyFont="1" applyBorder="1" applyAlignment="1">
      <alignment vertical="center" wrapText="1"/>
    </xf>
    <xf numFmtId="10" fontId="20" fillId="0" borderId="14" xfId="0" applyNumberFormat="1" applyFont="1" applyBorder="1" applyAlignment="1">
      <alignment vertical="center" wrapText="1"/>
    </xf>
    <xf numFmtId="10" fontId="20" fillId="0" borderId="16" xfId="0" applyNumberFormat="1" applyFont="1" applyBorder="1" applyAlignment="1">
      <alignment vertical="center" wrapText="1"/>
    </xf>
    <xf numFmtId="10" fontId="19" fillId="0" borderId="14" xfId="0" applyNumberFormat="1" applyFont="1" applyBorder="1" applyAlignment="1">
      <alignment vertical="center" wrapText="1"/>
    </xf>
    <xf numFmtId="10" fontId="19" fillId="0" borderId="16" xfId="0" applyNumberFormat="1" applyFont="1" applyBorder="1" applyAlignment="1">
      <alignment vertical="center" wrapText="1"/>
    </xf>
    <xf numFmtId="10" fontId="19" fillId="0" borderId="21" xfId="0" applyNumberFormat="1" applyFont="1" applyBorder="1" applyAlignment="1">
      <alignment vertical="center" wrapText="1"/>
    </xf>
    <xf numFmtId="0" fontId="21" fillId="0" borderId="18" xfId="0" applyFont="1" applyBorder="1" applyAlignment="1">
      <alignment vertical="center" wrapText="1"/>
    </xf>
    <xf numFmtId="0" fontId="20" fillId="0" borderId="19" xfId="0" applyFont="1" applyBorder="1" applyAlignment="1">
      <alignment vertical="center" wrapText="1"/>
    </xf>
    <xf numFmtId="10" fontId="20" fillId="0" borderId="19" xfId="0" applyNumberFormat="1" applyFont="1" applyBorder="1" applyAlignment="1">
      <alignment horizontal="right" vertical="center" wrapText="1"/>
    </xf>
    <xf numFmtId="0" fontId="19" fillId="0" borderId="17"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1" xfId="0" applyFont="1" applyBorder="1" applyAlignment="1">
      <alignment horizontal="left" vertical="center" wrapText="1" indent="2"/>
    </xf>
    <xf numFmtId="49" fontId="22" fillId="0" borderId="0" xfId="0" applyNumberFormat="1" applyFont="1">
      <alignment vertical="center"/>
    </xf>
    <xf numFmtId="0" fontId="22" fillId="0" borderId="0" xfId="0" applyFont="1" applyAlignment="1">
      <alignment horizontal="left" vertical="center"/>
    </xf>
    <xf numFmtId="0" fontId="22" fillId="0" borderId="0" xfId="0" applyFont="1">
      <alignment vertical="center"/>
    </xf>
    <xf numFmtId="0" fontId="22" fillId="0" borderId="0" xfId="0" applyFont="1" applyAlignment="1">
      <alignment horizontal="center" vertical="center"/>
    </xf>
    <xf numFmtId="0" fontId="24" fillId="10" borderId="9" xfId="0" applyFont="1" applyFill="1" applyBorder="1" applyAlignment="1">
      <alignment horizontal="center" vertical="center"/>
    </xf>
    <xf numFmtId="0" fontId="26" fillId="10" borderId="9" xfId="0" applyFont="1" applyFill="1" applyBorder="1" applyAlignment="1">
      <alignment horizontal="center" vertical="center" wrapText="1"/>
    </xf>
    <xf numFmtId="49" fontId="24" fillId="0" borderId="26" xfId="0" applyNumberFormat="1" applyFont="1" applyBorder="1" applyAlignment="1">
      <alignment horizontal="center" vertical="center"/>
    </xf>
    <xf numFmtId="0" fontId="24" fillId="0" borderId="27" xfId="0" applyFont="1" applyBorder="1" applyAlignment="1">
      <alignment horizontal="left" vertical="center"/>
    </xf>
    <xf numFmtId="0" fontId="24" fillId="0" borderId="9" xfId="0" applyFont="1" applyBorder="1" applyAlignment="1">
      <alignment horizontal="center" vertical="center"/>
    </xf>
    <xf numFmtId="49" fontId="24" fillId="11" borderId="28" xfId="0" applyNumberFormat="1" applyFont="1" applyFill="1" applyBorder="1" applyAlignment="1">
      <alignment horizontal="center" vertical="center"/>
    </xf>
    <xf numFmtId="0" fontId="24" fillId="11" borderId="7" xfId="0" applyFont="1" applyFill="1" applyBorder="1" applyAlignment="1">
      <alignment horizontal="left" vertical="center"/>
    </xf>
    <xf numFmtId="0" fontId="24" fillId="11" borderId="9" xfId="0" applyFont="1" applyFill="1" applyBorder="1" applyAlignment="1">
      <alignment horizontal="center" vertical="center"/>
    </xf>
    <xf numFmtId="49" fontId="25" fillId="2" borderId="8" xfId="0" applyNumberFormat="1" applyFont="1" applyFill="1" applyBorder="1" applyAlignment="1">
      <alignment horizontal="center" vertical="center"/>
    </xf>
    <xf numFmtId="0" fontId="25" fillId="2" borderId="9" xfId="0" applyFont="1" applyFill="1" applyBorder="1" applyAlignment="1">
      <alignment horizontal="left" vertical="center"/>
    </xf>
    <xf numFmtId="0" fontId="25" fillId="2" borderId="9" xfId="0" applyFont="1" applyFill="1" applyBorder="1" applyAlignment="1">
      <alignment horizontal="center" vertical="center"/>
    </xf>
    <xf numFmtId="49" fontId="25" fillId="0" borderId="20" xfId="0" applyNumberFormat="1" applyFont="1" applyBorder="1" applyAlignment="1">
      <alignment horizontal="center" vertical="center"/>
    </xf>
    <xf numFmtId="0" fontId="25" fillId="0" borderId="21" xfId="0" applyFont="1" applyBorder="1" applyAlignment="1">
      <alignment horizontal="left" vertical="center"/>
    </xf>
    <xf numFmtId="0" fontId="25" fillId="0" borderId="21" xfId="0" applyFont="1" applyBorder="1" applyAlignment="1">
      <alignment horizontal="center" vertical="center"/>
    </xf>
    <xf numFmtId="0" fontId="25" fillId="0" borderId="9" xfId="0" applyFont="1" applyBorder="1" applyAlignment="1">
      <alignment horizontal="center" vertical="center"/>
    </xf>
    <xf numFmtId="0" fontId="25" fillId="2" borderId="9" xfId="0" applyFont="1" applyFill="1" applyBorder="1" applyAlignment="1">
      <alignment horizontal="left" vertical="center" wrapText="1"/>
    </xf>
    <xf numFmtId="49" fontId="24" fillId="11" borderId="8" xfId="0" applyNumberFormat="1" applyFont="1" applyFill="1" applyBorder="1" applyAlignment="1">
      <alignment horizontal="center" vertical="center"/>
    </xf>
    <xf numFmtId="0" fontId="24" fillId="11" borderId="9" xfId="0" applyFont="1" applyFill="1" applyBorder="1" applyAlignment="1">
      <alignment horizontal="left" vertical="center"/>
    </xf>
    <xf numFmtId="0" fontId="22" fillId="10" borderId="0" xfId="0" applyFont="1" applyFill="1">
      <alignment vertical="center"/>
    </xf>
    <xf numFmtId="0" fontId="22" fillId="10" borderId="0" xfId="0" applyFont="1" applyFill="1" applyAlignment="1">
      <alignment horizontal="center" vertical="center"/>
    </xf>
    <xf numFmtId="0" fontId="26" fillId="10" borderId="0" xfId="0" applyFont="1" applyFill="1" applyAlignment="1">
      <alignment horizontal="center"/>
    </xf>
    <xf numFmtId="0" fontId="24" fillId="0" borderId="7" xfId="0" applyFont="1" applyBorder="1" applyAlignment="1">
      <alignment horizontal="center" vertical="center"/>
    </xf>
    <xf numFmtId="0" fontId="24" fillId="0" borderId="31" xfId="0" applyFont="1" applyBorder="1" applyAlignment="1">
      <alignment horizontal="center" vertical="center"/>
    </xf>
    <xf numFmtId="10" fontId="25" fillId="0" borderId="9" xfId="0" applyNumberFormat="1" applyFont="1" applyBorder="1" applyAlignment="1">
      <alignment horizontal="center" vertical="center"/>
    </xf>
    <xf numFmtId="0" fontId="28" fillId="2" borderId="0" xfId="0" applyFont="1" applyFill="1">
      <alignment vertical="center"/>
    </xf>
    <xf numFmtId="0" fontId="24" fillId="11" borderId="24" xfId="0" applyFont="1" applyFill="1" applyBorder="1" applyAlignment="1">
      <alignment horizontal="center" vertical="center"/>
    </xf>
    <xf numFmtId="10" fontId="24" fillId="11" borderId="9" xfId="0" applyNumberFormat="1" applyFont="1" applyFill="1" applyBorder="1" applyAlignment="1">
      <alignment horizontal="center" vertical="center"/>
    </xf>
    <xf numFmtId="0" fontId="24" fillId="2" borderId="24" xfId="0" applyFont="1" applyFill="1" applyBorder="1" applyAlignment="1">
      <alignment horizontal="center" vertical="center"/>
    </xf>
    <xf numFmtId="10" fontId="25" fillId="2" borderId="9" xfId="0" applyNumberFormat="1" applyFont="1" applyFill="1" applyBorder="1" applyAlignment="1">
      <alignment horizontal="center" vertical="center"/>
    </xf>
    <xf numFmtId="49" fontId="22" fillId="10" borderId="0" xfId="0" applyNumberFormat="1" applyFont="1" applyFill="1">
      <alignment vertical="center"/>
    </xf>
    <xf numFmtId="0" fontId="24" fillId="0" borderId="21" xfId="0" applyFont="1" applyBorder="1" applyAlignment="1">
      <alignment horizontal="center" vertical="center"/>
    </xf>
    <xf numFmtId="0" fontId="25" fillId="2" borderId="24" xfId="0" applyFont="1" applyFill="1" applyBorder="1" applyAlignment="1">
      <alignment horizontal="center" vertical="center"/>
    </xf>
    <xf numFmtId="49" fontId="25" fillId="2" borderId="26" xfId="0" applyNumberFormat="1" applyFont="1" applyFill="1" applyBorder="1" applyAlignment="1">
      <alignment horizontal="center" vertical="center"/>
    </xf>
    <xf numFmtId="0" fontId="25" fillId="2" borderId="27" xfId="0" applyFont="1" applyFill="1" applyBorder="1" applyAlignment="1">
      <alignment horizontal="left" vertical="center"/>
    </xf>
    <xf numFmtId="0" fontId="25" fillId="2" borderId="27" xfId="0" applyFont="1" applyFill="1" applyBorder="1" applyAlignment="1">
      <alignment horizontal="center" vertical="center"/>
    </xf>
    <xf numFmtId="49" fontId="25" fillId="0" borderId="34" xfId="0" applyNumberFormat="1" applyFont="1" applyBorder="1" applyAlignment="1">
      <alignment horizontal="center" vertical="center"/>
    </xf>
    <xf numFmtId="0" fontId="25" fillId="0" borderId="16" xfId="0" applyFont="1" applyBorder="1" applyAlignment="1">
      <alignment horizontal="left" vertical="center"/>
    </xf>
    <xf numFmtId="0" fontId="25" fillId="0" borderId="16" xfId="0" applyFont="1" applyBorder="1" applyAlignment="1">
      <alignment horizontal="center" vertical="center"/>
    </xf>
    <xf numFmtId="0" fontId="25" fillId="0" borderId="7" xfId="0" applyFont="1" applyBorder="1" applyAlignment="1">
      <alignment horizontal="center" vertical="center"/>
    </xf>
    <xf numFmtId="0" fontId="25" fillId="2" borderId="21" xfId="0" applyFont="1" applyFill="1" applyBorder="1" applyAlignment="1">
      <alignment horizontal="center" vertical="center"/>
    </xf>
    <xf numFmtId="0" fontId="25" fillId="2" borderId="0" xfId="0" applyFont="1" applyFill="1" applyAlignment="1">
      <alignment horizontal="center" vertical="center"/>
    </xf>
    <xf numFmtId="10" fontId="25" fillId="2" borderId="27" xfId="0" applyNumberFormat="1" applyFont="1" applyFill="1" applyBorder="1" applyAlignment="1">
      <alignment horizontal="center" vertical="center"/>
    </xf>
    <xf numFmtId="0" fontId="24" fillId="0" borderId="16" xfId="0" applyFont="1" applyBorder="1" applyAlignment="1">
      <alignment horizontal="center" vertical="center"/>
    </xf>
    <xf numFmtId="10" fontId="25" fillId="0" borderId="7" xfId="0" applyNumberFormat="1" applyFont="1" applyBorder="1" applyAlignment="1">
      <alignment horizontal="center" vertical="center"/>
    </xf>
    <xf numFmtId="0" fontId="22" fillId="12" borderId="0" xfId="0" applyFont="1" applyFill="1">
      <alignment vertical="center"/>
    </xf>
    <xf numFmtId="0" fontId="25" fillId="2" borderId="18" xfId="0" applyFont="1" applyFill="1" applyBorder="1" applyAlignment="1">
      <alignment horizontal="center" vertical="center"/>
    </xf>
    <xf numFmtId="49" fontId="25" fillId="0" borderId="8" xfId="0" applyNumberFormat="1" applyFont="1" applyBorder="1" applyAlignment="1">
      <alignment horizontal="center" vertical="center"/>
    </xf>
    <xf numFmtId="0" fontId="25" fillId="0" borderId="9" xfId="0" applyFont="1" applyBorder="1" applyAlignment="1">
      <alignment horizontal="left" vertical="center"/>
    </xf>
    <xf numFmtId="0" fontId="25" fillId="0" borderId="24" xfId="0" applyFont="1" applyBorder="1" applyAlignment="1">
      <alignment horizontal="center" vertical="center"/>
    </xf>
    <xf numFmtId="0" fontId="25" fillId="10" borderId="21" xfId="0" applyFont="1" applyFill="1" applyBorder="1" applyAlignment="1">
      <alignment horizontal="left" vertical="center"/>
    </xf>
    <xf numFmtId="0" fontId="25" fillId="10" borderId="21" xfId="0" applyFont="1" applyFill="1" applyBorder="1" applyAlignment="1">
      <alignment horizontal="center" vertical="center"/>
    </xf>
    <xf numFmtId="49" fontId="25" fillId="2" borderId="20" xfId="0" applyNumberFormat="1" applyFont="1" applyFill="1" applyBorder="1" applyAlignment="1">
      <alignment horizontal="center" vertical="center"/>
    </xf>
    <xf numFmtId="0" fontId="25" fillId="2" borderId="21" xfId="0" applyFont="1" applyFill="1" applyBorder="1" applyAlignment="1">
      <alignment horizontal="left" vertical="center"/>
    </xf>
    <xf numFmtId="10" fontId="25" fillId="11" borderId="9" xfId="0" applyNumberFormat="1" applyFont="1" applyFill="1" applyBorder="1" applyAlignment="1">
      <alignment horizontal="center" vertical="center"/>
    </xf>
    <xf numFmtId="0" fontId="29" fillId="10" borderId="0" xfId="0" applyFont="1" applyFill="1">
      <alignment vertical="center"/>
    </xf>
    <xf numFmtId="0" fontId="25" fillId="10" borderId="24" xfId="0" applyFont="1" applyFill="1" applyBorder="1" applyAlignment="1">
      <alignment horizontal="center" vertical="center"/>
    </xf>
    <xf numFmtId="10" fontId="25" fillId="10" borderId="9" xfId="0" applyNumberFormat="1" applyFont="1" applyFill="1" applyBorder="1" applyAlignment="1">
      <alignment horizontal="center" vertical="center"/>
    </xf>
    <xf numFmtId="49" fontId="29" fillId="10" borderId="0" xfId="0" applyNumberFormat="1" applyFont="1" applyFill="1">
      <alignment vertical="center"/>
    </xf>
    <xf numFmtId="0" fontId="29" fillId="2" borderId="9" xfId="0" applyFont="1" applyFill="1" applyBorder="1" applyAlignment="1">
      <alignment horizontal="left" vertical="center"/>
    </xf>
    <xf numFmtId="49" fontId="25" fillId="13" borderId="8" xfId="0" applyNumberFormat="1" applyFont="1" applyFill="1" applyBorder="1" applyAlignment="1">
      <alignment horizontal="center" vertical="center"/>
    </xf>
    <xf numFmtId="0" fontId="25" fillId="13" borderId="9" xfId="0" applyFont="1" applyFill="1" applyBorder="1" applyAlignment="1">
      <alignment horizontal="left" vertical="center"/>
    </xf>
    <xf numFmtId="0" fontId="25" fillId="13" borderId="9" xfId="0" applyFont="1" applyFill="1" applyBorder="1" applyAlignment="1">
      <alignment horizontal="center" vertical="center"/>
    </xf>
    <xf numFmtId="49" fontId="25" fillId="14" borderId="8" xfId="0" applyNumberFormat="1" applyFont="1" applyFill="1" applyBorder="1" applyAlignment="1">
      <alignment horizontal="center" vertical="center"/>
    </xf>
    <xf numFmtId="0" fontId="25" fillId="14" borderId="9" xfId="0" applyFont="1" applyFill="1" applyBorder="1" applyAlignment="1">
      <alignment horizontal="left" vertical="center"/>
    </xf>
    <xf numFmtId="0" fontId="25" fillId="14" borderId="9" xfId="0" applyFont="1" applyFill="1" applyBorder="1" applyAlignment="1">
      <alignment horizontal="center" vertical="center"/>
    </xf>
    <xf numFmtId="49" fontId="25" fillId="11" borderId="8" xfId="0" applyNumberFormat="1" applyFont="1" applyFill="1" applyBorder="1" applyAlignment="1">
      <alignment horizontal="center" vertical="center"/>
    </xf>
    <xf numFmtId="0" fontId="25" fillId="11" borderId="9" xfId="0" applyFont="1" applyFill="1" applyBorder="1" applyAlignment="1">
      <alignment horizontal="left" vertical="center"/>
    </xf>
    <xf numFmtId="0" fontId="25" fillId="11" borderId="9" xfId="0" applyFont="1" applyFill="1" applyBorder="1" applyAlignment="1">
      <alignment horizontal="center" vertical="center"/>
    </xf>
    <xf numFmtId="49" fontId="25" fillId="3" borderId="8" xfId="0" applyNumberFormat="1" applyFont="1" applyFill="1" applyBorder="1" applyAlignment="1">
      <alignment horizontal="center" vertical="center"/>
    </xf>
    <xf numFmtId="0" fontId="25" fillId="3" borderId="9" xfId="0" applyFont="1" applyFill="1" applyBorder="1" applyAlignment="1">
      <alignment horizontal="left" vertical="center"/>
    </xf>
    <xf numFmtId="0" fontId="25" fillId="3" borderId="9" xfId="0" applyFont="1" applyFill="1" applyBorder="1" applyAlignment="1">
      <alignment horizontal="center" vertical="center"/>
    </xf>
    <xf numFmtId="49" fontId="24" fillId="0" borderId="8" xfId="0" applyNumberFormat="1" applyFont="1" applyBorder="1" applyAlignment="1">
      <alignment horizontal="center" vertical="center"/>
    </xf>
    <xf numFmtId="0" fontId="24" fillId="0" borderId="9" xfId="0" applyFont="1" applyBorder="1" applyAlignment="1">
      <alignment horizontal="left" vertical="center"/>
    </xf>
    <xf numFmtId="0" fontId="28" fillId="0" borderId="9" xfId="0" applyFont="1" applyBorder="1" applyAlignment="1">
      <alignment horizontal="left" vertical="center"/>
    </xf>
    <xf numFmtId="0" fontId="22" fillId="12" borderId="0" xfId="0" applyFont="1" applyFill="1" applyAlignment="1">
      <alignment horizontal="center" vertical="center"/>
    </xf>
    <xf numFmtId="0" fontId="31" fillId="0" borderId="0" xfId="0" applyFont="1">
      <alignment vertical="center"/>
    </xf>
    <xf numFmtId="0" fontId="25" fillId="2" borderId="0" xfId="0" applyFont="1" applyFill="1" applyAlignment="1">
      <alignment horizontal="justify" vertical="center"/>
    </xf>
    <xf numFmtId="0" fontId="25" fillId="2" borderId="31" xfId="0" applyFont="1" applyFill="1" applyBorder="1" applyAlignment="1">
      <alignment horizontal="center" vertical="center"/>
    </xf>
    <xf numFmtId="0" fontId="25" fillId="13" borderId="24" xfId="0" applyFont="1" applyFill="1" applyBorder="1" applyAlignment="1">
      <alignment horizontal="center" vertical="center"/>
    </xf>
    <xf numFmtId="10" fontId="25" fillId="13" borderId="9" xfId="0" applyNumberFormat="1" applyFont="1" applyFill="1" applyBorder="1" applyAlignment="1">
      <alignment horizontal="center" vertical="center"/>
    </xf>
    <xf numFmtId="0" fontId="25" fillId="14" borderId="24" xfId="0" applyFont="1" applyFill="1" applyBorder="1" applyAlignment="1">
      <alignment horizontal="center" vertical="center"/>
    </xf>
    <xf numFmtId="10" fontId="25" fillId="14" borderId="9" xfId="0" applyNumberFormat="1" applyFont="1" applyFill="1" applyBorder="1" applyAlignment="1">
      <alignment horizontal="center" vertical="center"/>
    </xf>
    <xf numFmtId="0" fontId="25" fillId="11" borderId="24" xfId="0" applyFont="1" applyFill="1" applyBorder="1" applyAlignment="1">
      <alignment horizontal="center" vertical="center"/>
    </xf>
    <xf numFmtId="0" fontId="25" fillId="3" borderId="24" xfId="0" applyFont="1" applyFill="1" applyBorder="1" applyAlignment="1">
      <alignment horizontal="center" vertical="center"/>
    </xf>
    <xf numFmtId="10" fontId="25" fillId="3" borderId="9" xfId="0" applyNumberFormat="1" applyFont="1" applyFill="1" applyBorder="1" applyAlignment="1">
      <alignment horizontal="center" vertical="center"/>
    </xf>
    <xf numFmtId="0" fontId="24" fillId="0" borderId="24" xfId="0" applyFont="1" applyBorder="1" applyAlignment="1">
      <alignment horizontal="center" vertical="center"/>
    </xf>
    <xf numFmtId="10" fontId="24" fillId="0" borderId="9" xfId="0" applyNumberFormat="1" applyFont="1" applyBorder="1" applyAlignment="1">
      <alignment horizontal="center" vertical="center"/>
    </xf>
    <xf numFmtId="0" fontId="24" fillId="0" borderId="9" xfId="0" applyFont="1" applyBorder="1" applyAlignment="1">
      <alignment horizontal="left"/>
    </xf>
    <xf numFmtId="0" fontId="24" fillId="0" borderId="27"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xf>
    <xf numFmtId="0" fontId="25" fillId="0" borderId="36" xfId="0" applyFont="1" applyBorder="1" applyAlignment="1">
      <alignment horizontal="left" vertical="center"/>
    </xf>
    <xf numFmtId="49" fontId="22" fillId="0" borderId="0" xfId="0" applyNumberFormat="1" applyFont="1" applyAlignment="1">
      <alignment horizontal="center" vertical="center"/>
    </xf>
    <xf numFmtId="0" fontId="32" fillId="2" borderId="0" xfId="0" applyFont="1" applyFill="1">
      <alignment vertical="center"/>
    </xf>
    <xf numFmtId="0" fontId="0" fillId="2" borderId="0" xfId="0" applyFill="1">
      <alignment vertical="center"/>
    </xf>
    <xf numFmtId="0" fontId="0" fillId="0" borderId="10" xfId="0" applyBorder="1">
      <alignment vertical="center"/>
    </xf>
    <xf numFmtId="0" fontId="0" fillId="0" borderId="10" xfId="0" applyBorder="1" applyAlignment="1">
      <alignment horizontal="center" vertical="center"/>
    </xf>
    <xf numFmtId="0" fontId="32" fillId="0" borderId="10" xfId="0" applyFont="1" applyBorder="1" applyAlignment="1">
      <alignment horizontal="center" vertical="center"/>
    </xf>
    <xf numFmtId="0" fontId="0" fillId="15" borderId="10" xfId="0" applyFill="1" applyBorder="1" applyAlignment="1">
      <alignment horizontal="center" vertical="center"/>
    </xf>
    <xf numFmtId="0" fontId="0" fillId="16" borderId="10" xfId="0" applyFill="1" applyBorder="1" applyAlignment="1">
      <alignment horizontal="center" vertical="center"/>
    </xf>
    <xf numFmtId="0" fontId="0" fillId="17" borderId="10" xfId="0" applyFill="1" applyBorder="1" applyAlignment="1">
      <alignment horizontal="center" vertical="center"/>
    </xf>
    <xf numFmtId="0" fontId="0" fillId="18" borderId="10" xfId="0" applyFill="1" applyBorder="1" applyAlignment="1">
      <alignment horizontal="center" vertical="center"/>
    </xf>
    <xf numFmtId="0" fontId="0" fillId="0" borderId="0" xfId="0" applyAlignment="1">
      <alignment horizontal="center" vertical="center"/>
    </xf>
    <xf numFmtId="0" fontId="33" fillId="2" borderId="0" xfId="0" applyFont="1" applyFill="1">
      <alignment vertical="center"/>
    </xf>
    <xf numFmtId="0" fontId="32" fillId="0" borderId="10" xfId="0" applyFont="1" applyBorder="1" applyAlignment="1">
      <alignment horizontal="left" vertical="center" wrapText="1"/>
    </xf>
    <xf numFmtId="0" fontId="0" fillId="0" borderId="10" xfId="0" applyBorder="1" applyAlignment="1">
      <alignment horizontal="left" vertical="center"/>
    </xf>
    <xf numFmtId="0" fontId="32" fillId="15" borderId="10" xfId="0" applyFont="1" applyFill="1" applyBorder="1" applyAlignment="1">
      <alignment horizontal="center" vertical="center"/>
    </xf>
    <xf numFmtId="0" fontId="32" fillId="19" borderId="10" xfId="0" applyFont="1" applyFill="1" applyBorder="1" applyAlignment="1">
      <alignment horizontal="center" vertical="center"/>
    </xf>
    <xf numFmtId="0" fontId="32" fillId="19" borderId="10" xfId="0" applyFont="1" applyFill="1" applyBorder="1" applyAlignment="1">
      <alignment horizontal="left" vertical="center" wrapText="1"/>
    </xf>
    <xf numFmtId="0" fontId="33" fillId="19" borderId="10" xfId="0" applyFont="1" applyFill="1" applyBorder="1" applyAlignment="1">
      <alignment horizontal="left" vertical="center" wrapText="1"/>
    </xf>
    <xf numFmtId="0" fontId="32" fillId="20" borderId="10" xfId="0" applyFont="1" applyFill="1" applyBorder="1" applyAlignment="1">
      <alignment horizontal="center" vertical="center"/>
    </xf>
    <xf numFmtId="0" fontId="33" fillId="0" borderId="10" xfId="0" applyFont="1" applyBorder="1" applyAlignment="1">
      <alignment horizontal="center" vertical="center"/>
    </xf>
    <xf numFmtId="170" fontId="34" fillId="0" borderId="0" xfId="85" applyNumberFormat="1" applyFont="1"/>
    <xf numFmtId="170" fontId="35" fillId="0" borderId="0" xfId="85" applyNumberFormat="1" applyFont="1"/>
    <xf numFmtId="170" fontId="35" fillId="21" borderId="0" xfId="85" applyNumberFormat="1" applyFont="1" applyFill="1"/>
    <xf numFmtId="170" fontId="35" fillId="2" borderId="0" xfId="85" applyNumberFormat="1" applyFont="1" applyFill="1"/>
    <xf numFmtId="170" fontId="35" fillId="22" borderId="0" xfId="85" applyNumberFormat="1" applyFont="1" applyFill="1"/>
    <xf numFmtId="170" fontId="36" fillId="0" borderId="0" xfId="85" applyNumberFormat="1" applyFont="1"/>
    <xf numFmtId="170" fontId="34" fillId="22" borderId="0" xfId="85" applyNumberFormat="1" applyFont="1" applyFill="1"/>
    <xf numFmtId="170" fontId="34" fillId="2" borderId="0" xfId="85" applyNumberFormat="1" applyFont="1" applyFill="1"/>
    <xf numFmtId="170" fontId="37" fillId="22" borderId="0" xfId="85" applyNumberFormat="1" applyFont="1" applyFill="1"/>
    <xf numFmtId="170" fontId="36" fillId="22" borderId="0" xfId="85" applyNumberFormat="1" applyFont="1" applyFill="1"/>
    <xf numFmtId="170" fontId="37" fillId="0" borderId="0" xfId="85" applyNumberFormat="1" applyFont="1"/>
    <xf numFmtId="0" fontId="0" fillId="22" borderId="0" xfId="0" applyFill="1" applyAlignment="1"/>
    <xf numFmtId="170" fontId="38" fillId="21" borderId="0" xfId="0" applyNumberFormat="1" applyFont="1" applyFill="1" applyAlignment="1"/>
    <xf numFmtId="170" fontId="39" fillId="21" borderId="0" xfId="0" applyNumberFormat="1" applyFont="1" applyFill="1" applyAlignment="1"/>
    <xf numFmtId="170" fontId="40" fillId="0" borderId="0" xfId="85" applyNumberFormat="1" applyFont="1"/>
    <xf numFmtId="170" fontId="41" fillId="0" borderId="0" xfId="85" applyNumberFormat="1" applyFont="1"/>
    <xf numFmtId="170" fontId="35" fillId="0" borderId="10" xfId="85" applyNumberFormat="1" applyFont="1" applyBorder="1"/>
    <xf numFmtId="0" fontId="42" fillId="0" borderId="0" xfId="62" applyFont="1" applyAlignment="1">
      <alignment horizontal="center" vertical="center" shrinkToFit="1"/>
    </xf>
    <xf numFmtId="170" fontId="42" fillId="0" borderId="0" xfId="85" applyNumberFormat="1" applyFont="1" applyAlignment="1">
      <alignment horizontal="center" vertical="center"/>
    </xf>
    <xf numFmtId="0" fontId="42" fillId="0" borderId="10" xfId="85" applyFont="1" applyBorder="1" applyAlignment="1">
      <alignment horizontal="center" vertical="center" shrinkToFit="1"/>
    </xf>
    <xf numFmtId="170" fontId="42" fillId="0" borderId="10" xfId="85" applyNumberFormat="1" applyFont="1" applyBorder="1" applyAlignment="1">
      <alignment horizontal="center" vertical="center" shrinkToFit="1"/>
    </xf>
    <xf numFmtId="170" fontId="19" fillId="0" borderId="10" xfId="85" applyNumberFormat="1" applyFont="1" applyBorder="1" applyAlignment="1">
      <alignment horizontal="center" vertical="center" shrinkToFit="1"/>
    </xf>
    <xf numFmtId="170" fontId="43" fillId="0" borderId="10" xfId="85" applyNumberFormat="1" applyFont="1" applyBorder="1" applyAlignment="1">
      <alignment horizontal="center" vertical="center" shrinkToFit="1"/>
    </xf>
    <xf numFmtId="170" fontId="42" fillId="0" borderId="10" xfId="62" applyNumberFormat="1" applyFont="1" applyBorder="1" applyAlignment="1">
      <alignment horizontal="center" vertical="center" shrinkToFit="1"/>
    </xf>
    <xf numFmtId="0" fontId="42" fillId="0" borderId="32" xfId="85" applyFont="1" applyBorder="1" applyAlignment="1">
      <alignment horizontal="center" vertical="center" shrinkToFit="1"/>
    </xf>
    <xf numFmtId="172" fontId="42" fillId="0" borderId="10" xfId="85" applyNumberFormat="1" applyFont="1" applyBorder="1" applyAlignment="1">
      <alignment horizontal="center" vertical="center" shrinkToFit="1"/>
    </xf>
    <xf numFmtId="0" fontId="42" fillId="0" borderId="10" xfId="0" applyFont="1" applyBorder="1" applyAlignment="1">
      <alignment horizontal="center" vertical="center"/>
    </xf>
    <xf numFmtId="172" fontId="42" fillId="0" borderId="37" xfId="85" applyNumberFormat="1" applyFont="1" applyBorder="1" applyAlignment="1">
      <alignment horizontal="center" vertical="center" shrinkToFit="1"/>
    </xf>
    <xf numFmtId="173" fontId="42" fillId="0" borderId="10" xfId="85" applyNumberFormat="1" applyFont="1" applyBorder="1" applyAlignment="1">
      <alignment horizontal="center" vertical="center" shrinkToFit="1"/>
    </xf>
    <xf numFmtId="0" fontId="43" fillId="2" borderId="10" xfId="0" applyFont="1" applyFill="1" applyBorder="1" applyAlignment="1">
      <alignment horizontal="center" vertical="center"/>
    </xf>
    <xf numFmtId="0" fontId="19" fillId="2" borderId="10" xfId="0" applyFont="1" applyFill="1" applyBorder="1" applyAlignment="1">
      <alignment horizontal="center" vertical="center"/>
    </xf>
    <xf numFmtId="172" fontId="43" fillId="2" borderId="37" xfId="85" applyNumberFormat="1" applyFont="1" applyFill="1" applyBorder="1" applyAlignment="1">
      <alignment horizontal="center" vertical="center" shrinkToFit="1"/>
    </xf>
    <xf numFmtId="172" fontId="43" fillId="2" borderId="10" xfId="85" applyNumberFormat="1" applyFont="1" applyFill="1" applyBorder="1" applyAlignment="1">
      <alignment horizontal="center" vertical="center" shrinkToFit="1"/>
    </xf>
    <xf numFmtId="174" fontId="43" fillId="2" borderId="10" xfId="85" applyNumberFormat="1" applyFont="1" applyFill="1" applyBorder="1" applyAlignment="1">
      <alignment horizontal="center" vertical="center" shrinkToFit="1"/>
    </xf>
    <xf numFmtId="170" fontId="43" fillId="2" borderId="10" xfId="85" applyNumberFormat="1" applyFont="1" applyFill="1" applyBorder="1" applyAlignment="1">
      <alignment horizontal="center" vertical="center" shrinkToFit="1"/>
    </xf>
    <xf numFmtId="0" fontId="43" fillId="23" borderId="10" xfId="0" applyFont="1" applyFill="1" applyBorder="1" applyAlignment="1">
      <alignment horizontal="center" vertical="center"/>
    </xf>
    <xf numFmtId="0" fontId="19" fillId="22" borderId="10" xfId="0" applyFont="1" applyFill="1" applyBorder="1" applyAlignment="1">
      <alignment horizontal="center" vertical="center"/>
    </xf>
    <xf numFmtId="172" fontId="43" fillId="22" borderId="37" xfId="85" applyNumberFormat="1" applyFont="1" applyFill="1" applyBorder="1" applyAlignment="1">
      <alignment horizontal="center" vertical="center" shrinkToFit="1"/>
    </xf>
    <xf numFmtId="172" fontId="43" fillId="22" borderId="10" xfId="85" applyNumberFormat="1" applyFont="1" applyFill="1" applyBorder="1" applyAlignment="1">
      <alignment horizontal="center" vertical="center" shrinkToFit="1"/>
    </xf>
    <xf numFmtId="174" fontId="43" fillId="22" borderId="10" xfId="85" applyNumberFormat="1" applyFont="1" applyFill="1" applyBorder="1" applyAlignment="1">
      <alignment horizontal="center" vertical="center" shrinkToFit="1"/>
    </xf>
    <xf numFmtId="170" fontId="43" fillId="22" borderId="10" xfId="85" applyNumberFormat="1" applyFont="1" applyFill="1" applyBorder="1" applyAlignment="1">
      <alignment horizontal="center" vertical="center" shrinkToFit="1"/>
    </xf>
    <xf numFmtId="0" fontId="43" fillId="0" borderId="10" xfId="0" applyFont="1" applyBorder="1" applyAlignment="1">
      <alignment horizontal="center" vertical="center"/>
    </xf>
    <xf numFmtId="0" fontId="19" fillId="0" borderId="10" xfId="0" applyFont="1" applyBorder="1" applyAlignment="1">
      <alignment horizontal="center" vertical="center"/>
    </xf>
    <xf numFmtId="172" fontId="43" fillId="0" borderId="37" xfId="85" applyNumberFormat="1" applyFont="1" applyBorder="1" applyAlignment="1">
      <alignment horizontal="center" vertical="center" shrinkToFit="1"/>
    </xf>
    <xf numFmtId="172" fontId="43" fillId="0" borderId="10" xfId="85" applyNumberFormat="1" applyFont="1" applyBorder="1" applyAlignment="1">
      <alignment horizontal="center" vertical="center" shrinkToFit="1"/>
    </xf>
    <xf numFmtId="174" fontId="43" fillId="0" borderId="10" xfId="85" applyNumberFormat="1" applyFont="1" applyBorder="1" applyAlignment="1">
      <alignment horizontal="center" vertical="center" shrinkToFit="1"/>
    </xf>
    <xf numFmtId="0" fontId="43" fillId="0" borderId="38" xfId="0" applyFont="1" applyBorder="1" applyAlignment="1">
      <alignment horizontal="center" vertical="center"/>
    </xf>
    <xf numFmtId="0" fontId="19" fillId="0" borderId="38" xfId="0" applyFont="1" applyBorder="1" applyAlignment="1">
      <alignment horizontal="center" vertical="center"/>
    </xf>
    <xf numFmtId="172" fontId="43" fillId="0" borderId="39" xfId="0" applyNumberFormat="1" applyFont="1" applyBorder="1" applyAlignment="1">
      <alignment horizontal="center" vertical="center" shrinkToFit="1"/>
    </xf>
    <xf numFmtId="172" fontId="43" fillId="0" borderId="38" xfId="0" applyNumberFormat="1" applyFont="1" applyBorder="1" applyAlignment="1">
      <alignment horizontal="center" vertical="center" shrinkToFit="1"/>
    </xf>
    <xf numFmtId="174" fontId="43" fillId="0" borderId="38" xfId="0" applyNumberFormat="1" applyFont="1" applyBorder="1" applyAlignment="1">
      <alignment horizontal="center" vertical="center" shrinkToFit="1"/>
    </xf>
    <xf numFmtId="170" fontId="43" fillId="0" borderId="38" xfId="0" applyNumberFormat="1" applyFont="1" applyBorder="1" applyAlignment="1">
      <alignment horizontal="center" vertical="center" shrinkToFit="1"/>
    </xf>
    <xf numFmtId="0" fontId="43" fillId="24" borderId="38" xfId="0" applyFont="1" applyFill="1" applyBorder="1" applyAlignment="1">
      <alignment horizontal="center" vertical="center"/>
    </xf>
    <xf numFmtId="0" fontId="44" fillId="24" borderId="38" xfId="0" applyFont="1" applyFill="1" applyBorder="1" applyAlignment="1">
      <alignment horizontal="center" vertical="center"/>
    </xf>
    <xf numFmtId="172" fontId="43" fillId="24" borderId="39" xfId="0" applyNumberFormat="1" applyFont="1" applyFill="1" applyBorder="1" applyAlignment="1">
      <alignment horizontal="center" vertical="center" shrinkToFit="1"/>
    </xf>
    <xf numFmtId="0" fontId="19" fillId="24" borderId="38" xfId="0" applyFont="1" applyFill="1" applyBorder="1" applyAlignment="1">
      <alignment horizontal="center" vertical="center"/>
    </xf>
    <xf numFmtId="172" fontId="19" fillId="0" borderId="38" xfId="0" applyNumberFormat="1" applyFont="1" applyBorder="1" applyAlignment="1">
      <alignment horizontal="center" vertical="center"/>
    </xf>
    <xf numFmtId="0" fontId="43" fillId="22" borderId="10" xfId="0" applyFont="1" applyFill="1" applyBorder="1" applyAlignment="1">
      <alignment horizontal="center" vertical="center"/>
    </xf>
    <xf numFmtId="0" fontId="19" fillId="2" borderId="10" xfId="0" applyFont="1" applyFill="1" applyBorder="1" applyAlignment="1">
      <alignment horizontal="center" vertical="center" wrapText="1"/>
    </xf>
    <xf numFmtId="49" fontId="43" fillId="22" borderId="10" xfId="0" applyNumberFormat="1" applyFont="1" applyFill="1" applyBorder="1" applyAlignment="1">
      <alignment horizontal="center" vertical="center"/>
    </xf>
    <xf numFmtId="0" fontId="19" fillId="22" borderId="10" xfId="0" applyFont="1" applyFill="1" applyBorder="1" applyAlignment="1">
      <alignment horizontal="center" vertical="center" wrapText="1"/>
    </xf>
    <xf numFmtId="49" fontId="43" fillId="2" borderId="10" xfId="0" applyNumberFormat="1" applyFont="1" applyFill="1" applyBorder="1" applyAlignment="1">
      <alignment horizontal="center" vertical="center"/>
    </xf>
    <xf numFmtId="10" fontId="45" fillId="0" borderId="0" xfId="85" applyNumberFormat="1" applyFont="1" applyAlignment="1">
      <alignment horizontal="center" vertical="center"/>
    </xf>
    <xf numFmtId="10" fontId="46" fillId="0" borderId="0" xfId="85" applyNumberFormat="1" applyFont="1" applyAlignment="1">
      <alignment horizontal="right" vertical="center"/>
    </xf>
    <xf numFmtId="170" fontId="46" fillId="0" borderId="10" xfId="85" applyNumberFormat="1" applyFont="1" applyBorder="1" applyAlignment="1">
      <alignment horizontal="center" vertical="center" shrinkToFit="1"/>
    </xf>
    <xf numFmtId="170" fontId="45" fillId="0" borderId="10" xfId="85" applyNumberFormat="1" applyFont="1" applyBorder="1" applyAlignment="1">
      <alignment horizontal="center" vertical="center" shrinkToFit="1"/>
    </xf>
    <xf numFmtId="10" fontId="45" fillId="0" borderId="10" xfId="85" applyNumberFormat="1" applyFont="1" applyBorder="1" applyAlignment="1">
      <alignment horizontal="center" vertical="center"/>
    </xf>
    <xf numFmtId="170" fontId="45" fillId="0" borderId="2" xfId="85" applyNumberFormat="1" applyFont="1" applyBorder="1" applyAlignment="1">
      <alignment horizontal="center" vertical="center" shrinkToFit="1"/>
    </xf>
    <xf numFmtId="170" fontId="45" fillId="0" borderId="11" xfId="85" applyNumberFormat="1" applyFont="1" applyBorder="1" applyAlignment="1">
      <alignment horizontal="center" vertical="center" shrinkToFit="1"/>
    </xf>
    <xf numFmtId="170" fontId="45" fillId="0" borderId="37" xfId="85" applyNumberFormat="1" applyFont="1" applyBorder="1" applyAlignment="1">
      <alignment horizontal="center" vertical="center" shrinkToFit="1"/>
    </xf>
    <xf numFmtId="10" fontId="46" fillId="0" borderId="10" xfId="85" applyNumberFormat="1" applyFont="1" applyBorder="1" applyAlignment="1">
      <alignment horizontal="center" vertical="center"/>
    </xf>
    <xf numFmtId="10" fontId="46" fillId="0" borderId="0" xfId="85" applyNumberFormat="1" applyFont="1" applyAlignment="1">
      <alignment horizontal="center" vertical="center"/>
    </xf>
    <xf numFmtId="171" fontId="45" fillId="0" borderId="10" xfId="85" applyNumberFormat="1" applyFont="1" applyBorder="1" applyAlignment="1">
      <alignment horizontal="center" vertical="center" shrinkToFit="1"/>
    </xf>
    <xf numFmtId="172" fontId="45" fillId="0" borderId="0" xfId="85" applyNumberFormat="1" applyFont="1" applyAlignment="1">
      <alignment horizontal="center" vertical="center"/>
    </xf>
    <xf numFmtId="171" fontId="46" fillId="2" borderId="10" xfId="85" applyNumberFormat="1" applyFont="1" applyFill="1" applyBorder="1" applyAlignment="1">
      <alignment horizontal="center" vertical="center" shrinkToFit="1"/>
    </xf>
    <xf numFmtId="170" fontId="45" fillId="2" borderId="10" xfId="85" applyNumberFormat="1" applyFont="1" applyFill="1" applyBorder="1" applyAlignment="1">
      <alignment horizontal="center" vertical="center" shrinkToFit="1"/>
    </xf>
    <xf numFmtId="170" fontId="45" fillId="2" borderId="11" xfId="85" applyNumberFormat="1" applyFont="1" applyFill="1" applyBorder="1" applyAlignment="1">
      <alignment horizontal="center" vertical="center" shrinkToFit="1"/>
    </xf>
    <xf numFmtId="170" fontId="45" fillId="2" borderId="37" xfId="85" applyNumberFormat="1" applyFont="1" applyFill="1" applyBorder="1" applyAlignment="1">
      <alignment horizontal="center" vertical="center" shrinkToFit="1"/>
    </xf>
    <xf numFmtId="10" fontId="46" fillId="2" borderId="10" xfId="85" applyNumberFormat="1" applyFont="1" applyFill="1" applyBorder="1" applyAlignment="1">
      <alignment horizontal="center" vertical="center"/>
    </xf>
    <xf numFmtId="172" fontId="46" fillId="2" borderId="0" xfId="85" applyNumberFormat="1" applyFont="1" applyFill="1" applyAlignment="1">
      <alignment horizontal="center" vertical="center"/>
    </xf>
    <xf numFmtId="171" fontId="46" fillId="22" borderId="10" xfId="85" applyNumberFormat="1" applyFont="1" applyFill="1" applyBorder="1" applyAlignment="1">
      <alignment horizontal="center" vertical="center" shrinkToFit="1"/>
    </xf>
    <xf numFmtId="170" fontId="45" fillId="22" borderId="10" xfId="85" applyNumberFormat="1" applyFont="1" applyFill="1" applyBorder="1" applyAlignment="1">
      <alignment horizontal="center" vertical="center" shrinkToFit="1"/>
    </xf>
    <xf numFmtId="170" fontId="45" fillId="22" borderId="11" xfId="85" applyNumberFormat="1" applyFont="1" applyFill="1" applyBorder="1" applyAlignment="1">
      <alignment horizontal="center" vertical="center" shrinkToFit="1"/>
    </xf>
    <xf numFmtId="170" fontId="45" fillId="22" borderId="37" xfId="85" applyNumberFormat="1" applyFont="1" applyFill="1" applyBorder="1" applyAlignment="1">
      <alignment horizontal="center" vertical="center" shrinkToFit="1"/>
    </xf>
    <xf numFmtId="10" fontId="46" fillId="22" borderId="10" xfId="85" applyNumberFormat="1" applyFont="1" applyFill="1" applyBorder="1" applyAlignment="1">
      <alignment horizontal="center" vertical="center"/>
    </xf>
    <xf numFmtId="172" fontId="46" fillId="22" borderId="0" xfId="85" applyNumberFormat="1" applyFont="1" applyFill="1" applyAlignment="1">
      <alignment horizontal="center" vertical="center"/>
    </xf>
    <xf numFmtId="171" fontId="46" fillId="0" borderId="10" xfId="85" applyNumberFormat="1" applyFont="1" applyBorder="1" applyAlignment="1">
      <alignment horizontal="center" vertical="center" shrinkToFit="1"/>
    </xf>
    <xf numFmtId="172" fontId="46" fillId="0" borderId="0" xfId="85" applyNumberFormat="1" applyFont="1" applyAlignment="1">
      <alignment horizontal="center" vertical="center"/>
    </xf>
    <xf numFmtId="171" fontId="47" fillId="0" borderId="38" xfId="0" applyNumberFormat="1" applyFont="1" applyBorder="1" applyAlignment="1">
      <alignment horizontal="center" vertical="center" shrinkToFit="1"/>
    </xf>
    <xf numFmtId="170" fontId="48" fillId="0" borderId="40" xfId="0" applyNumberFormat="1" applyFont="1" applyBorder="1" applyAlignment="1">
      <alignment horizontal="center" vertical="center" shrinkToFit="1"/>
    </xf>
    <xf numFmtId="170" fontId="48" fillId="0" borderId="39" xfId="0" applyNumberFormat="1" applyFont="1" applyBorder="1" applyAlignment="1">
      <alignment horizontal="center" vertical="center" shrinkToFit="1"/>
    </xf>
    <xf numFmtId="10" fontId="47" fillId="0" borderId="38" xfId="0" applyNumberFormat="1" applyFont="1" applyBorder="1" applyAlignment="1">
      <alignment horizontal="center" vertical="center"/>
    </xf>
    <xf numFmtId="172" fontId="49" fillId="0" borderId="0" xfId="85" applyNumberFormat="1" applyFont="1" applyAlignment="1">
      <alignment horizontal="center" vertical="center"/>
    </xf>
    <xf numFmtId="170" fontId="46" fillId="0" borderId="11" xfId="85" applyNumberFormat="1" applyFont="1" applyBorder="1" applyAlignment="1">
      <alignment horizontal="center" vertical="center" shrinkToFit="1"/>
    </xf>
    <xf numFmtId="170" fontId="46" fillId="0" borderId="37" xfId="85" applyNumberFormat="1" applyFont="1" applyBorder="1" applyAlignment="1">
      <alignment horizontal="center" vertical="center" shrinkToFit="1"/>
    </xf>
    <xf numFmtId="170" fontId="46" fillId="22" borderId="10" xfId="85" applyNumberFormat="1" applyFont="1" applyFill="1" applyBorder="1" applyAlignment="1">
      <alignment horizontal="center" vertical="center" shrinkToFit="1"/>
    </xf>
    <xf numFmtId="170" fontId="46" fillId="22" borderId="11" xfId="85" applyNumberFormat="1" applyFont="1" applyFill="1" applyBorder="1" applyAlignment="1">
      <alignment horizontal="center" vertical="center" shrinkToFit="1"/>
    </xf>
    <xf numFmtId="170" fontId="46" fillId="22" borderId="37" xfId="85" applyNumberFormat="1" applyFont="1" applyFill="1" applyBorder="1" applyAlignment="1">
      <alignment horizontal="center" vertical="center" shrinkToFit="1"/>
    </xf>
    <xf numFmtId="170" fontId="46" fillId="0" borderId="2" xfId="85" applyNumberFormat="1" applyFont="1" applyBorder="1" applyAlignment="1">
      <alignment horizontal="center" vertical="center" shrinkToFit="1"/>
    </xf>
    <xf numFmtId="170" fontId="46" fillId="2" borderId="10" xfId="85" applyNumberFormat="1" applyFont="1" applyFill="1" applyBorder="1" applyAlignment="1">
      <alignment horizontal="center" vertical="center" shrinkToFit="1"/>
    </xf>
    <xf numFmtId="170" fontId="46" fillId="2" borderId="11" xfId="85" applyNumberFormat="1" applyFont="1" applyFill="1" applyBorder="1" applyAlignment="1">
      <alignment horizontal="center" vertical="center" shrinkToFit="1"/>
    </xf>
    <xf numFmtId="170" fontId="46" fillId="2" borderId="37" xfId="85" applyNumberFormat="1" applyFont="1" applyFill="1" applyBorder="1" applyAlignment="1">
      <alignment horizontal="center" vertical="center" shrinkToFit="1"/>
    </xf>
    <xf numFmtId="172" fontId="45" fillId="0" borderId="0" xfId="85" applyNumberFormat="1" applyFont="1" applyAlignment="1">
      <alignment horizontal="center" vertical="center" wrapText="1"/>
    </xf>
    <xf numFmtId="170" fontId="43" fillId="0" borderId="0" xfId="85" applyNumberFormat="1" applyFont="1"/>
    <xf numFmtId="172" fontId="46" fillId="0" borderId="0" xfId="85" applyNumberFormat="1" applyFont="1" applyAlignment="1">
      <alignment horizontal="right" vertical="center" wrapText="1"/>
    </xf>
    <xf numFmtId="170" fontId="43" fillId="0" borderId="0" xfId="85" applyNumberFormat="1" applyFont="1" applyAlignment="1">
      <alignment horizontal="center" vertical="center"/>
    </xf>
    <xf numFmtId="170" fontId="42" fillId="0" borderId="0" xfId="85" applyNumberFormat="1" applyFont="1"/>
    <xf numFmtId="172" fontId="46" fillId="0" borderId="0" xfId="85" applyNumberFormat="1" applyFont="1" applyAlignment="1">
      <alignment horizontal="center" vertical="center" wrapText="1"/>
    </xf>
    <xf numFmtId="170" fontId="42" fillId="21" borderId="0" xfId="85" applyNumberFormat="1" applyFont="1" applyFill="1" applyAlignment="1">
      <alignment horizontal="center" vertical="center"/>
    </xf>
    <xf numFmtId="170" fontId="42" fillId="21" borderId="0" xfId="85" applyNumberFormat="1" applyFont="1" applyFill="1"/>
    <xf numFmtId="10" fontId="46" fillId="2" borderId="0" xfId="85" applyNumberFormat="1" applyFont="1" applyFill="1" applyAlignment="1">
      <alignment horizontal="center" vertical="center"/>
    </xf>
    <xf numFmtId="172" fontId="46" fillId="2" borderId="0" xfId="85" applyNumberFormat="1" applyFont="1" applyFill="1" applyAlignment="1">
      <alignment horizontal="center" vertical="center" wrapText="1"/>
    </xf>
    <xf numFmtId="170" fontId="42" fillId="2" borderId="0" xfId="85" applyNumberFormat="1" applyFont="1" applyFill="1" applyAlignment="1">
      <alignment horizontal="center" vertical="center"/>
    </xf>
    <xf numFmtId="170" fontId="42" fillId="2" borderId="0" xfId="85" applyNumberFormat="1" applyFont="1" applyFill="1"/>
    <xf numFmtId="10" fontId="46" fillId="22" borderId="0" xfId="85" applyNumberFormat="1" applyFont="1" applyFill="1" applyAlignment="1">
      <alignment horizontal="center" vertical="center"/>
    </xf>
    <xf numFmtId="172" fontId="46" fillId="22" borderId="0" xfId="85" applyNumberFormat="1" applyFont="1" applyFill="1" applyAlignment="1">
      <alignment horizontal="center" vertical="center" wrapText="1"/>
    </xf>
    <xf numFmtId="170" fontId="42" fillId="22" borderId="0" xfId="85" applyNumberFormat="1" applyFont="1" applyFill="1" applyAlignment="1">
      <alignment horizontal="center" vertical="center"/>
    </xf>
    <xf numFmtId="170" fontId="42" fillId="22" borderId="0" xfId="85" applyNumberFormat="1" applyFont="1" applyFill="1"/>
    <xf numFmtId="170" fontId="43" fillId="22" borderId="0" xfId="85" applyNumberFormat="1" applyFont="1" applyFill="1" applyAlignment="1">
      <alignment horizontal="center" vertical="center"/>
    </xf>
    <xf numFmtId="170" fontId="43" fillId="22" borderId="0" xfId="85" applyNumberFormat="1" applyFont="1" applyFill="1"/>
    <xf numFmtId="170" fontId="43" fillId="2" borderId="0" xfId="85" applyNumberFormat="1" applyFont="1" applyFill="1" applyAlignment="1">
      <alignment horizontal="center" vertical="center"/>
    </xf>
    <xf numFmtId="170" fontId="43" fillId="2" borderId="0" xfId="85" applyNumberFormat="1" applyFont="1" applyFill="1"/>
    <xf numFmtId="170" fontId="42" fillId="0" borderId="0" xfId="85" applyNumberFormat="1" applyFont="1" applyAlignment="1">
      <alignment horizontal="center"/>
    </xf>
    <xf numFmtId="170" fontId="42" fillId="21" borderId="0" xfId="85" applyNumberFormat="1" applyFont="1" applyFill="1" applyAlignment="1">
      <alignment horizontal="center"/>
    </xf>
    <xf numFmtId="170" fontId="42" fillId="2" borderId="0" xfId="85" applyNumberFormat="1" applyFont="1" applyFill="1" applyAlignment="1">
      <alignment horizontal="center"/>
    </xf>
    <xf numFmtId="170" fontId="42" fillId="22" borderId="0" xfId="85" applyNumberFormat="1" applyFont="1" applyFill="1" applyAlignment="1">
      <alignment horizontal="center"/>
    </xf>
    <xf numFmtId="170" fontId="43" fillId="0" borderId="0" xfId="85" applyNumberFormat="1" applyFont="1" applyAlignment="1">
      <alignment horizontal="center"/>
    </xf>
    <xf numFmtId="170" fontId="43" fillId="22" borderId="0" xfId="85" applyNumberFormat="1" applyFont="1" applyFill="1" applyAlignment="1">
      <alignment horizontal="center"/>
    </xf>
    <xf numFmtId="170" fontId="43" fillId="2" borderId="0" xfId="85" applyNumberFormat="1" applyFont="1" applyFill="1" applyAlignment="1">
      <alignment horizontal="center"/>
    </xf>
    <xf numFmtId="49" fontId="43" fillId="0" borderId="10" xfId="0" applyNumberFormat="1" applyFont="1" applyBorder="1" applyAlignment="1">
      <alignment horizontal="center" vertical="center"/>
    </xf>
    <xf numFmtId="49" fontId="43" fillId="22" borderId="32" xfId="0" applyNumberFormat="1" applyFont="1" applyFill="1" applyBorder="1" applyAlignment="1">
      <alignment horizontal="center" vertical="center"/>
    </xf>
    <xf numFmtId="0" fontId="19" fillId="22" borderId="32" xfId="0" applyFont="1" applyFill="1" applyBorder="1" applyAlignment="1">
      <alignment horizontal="center" vertical="center"/>
    </xf>
    <xf numFmtId="172" fontId="43" fillId="22" borderId="41" xfId="85" applyNumberFormat="1" applyFont="1" applyFill="1" applyBorder="1" applyAlignment="1">
      <alignment horizontal="center" vertical="center" shrinkToFit="1"/>
    </xf>
    <xf numFmtId="172" fontId="43" fillId="22" borderId="32" xfId="85" applyNumberFormat="1" applyFont="1" applyFill="1" applyBorder="1" applyAlignment="1">
      <alignment horizontal="center" vertical="center" shrinkToFit="1"/>
    </xf>
    <xf numFmtId="174" fontId="43" fillId="22" borderId="32" xfId="85" applyNumberFormat="1" applyFont="1" applyFill="1" applyBorder="1" applyAlignment="1">
      <alignment horizontal="center" vertical="center" shrinkToFit="1"/>
    </xf>
    <xf numFmtId="170" fontId="43" fillId="22" borderId="32" xfId="85" applyNumberFormat="1" applyFont="1" applyFill="1" applyBorder="1" applyAlignment="1">
      <alignment horizontal="center" vertical="center" shrinkToFit="1"/>
    </xf>
    <xf numFmtId="49" fontId="43" fillId="0" borderId="32" xfId="0" applyNumberFormat="1" applyFont="1" applyBorder="1" applyAlignment="1">
      <alignment horizontal="center" vertical="center"/>
    </xf>
    <xf numFmtId="0" fontId="19" fillId="0" borderId="32" xfId="0" applyFont="1" applyBorder="1" applyAlignment="1">
      <alignment horizontal="center" vertical="center"/>
    </xf>
    <xf numFmtId="172" fontId="43" fillId="0" borderId="41" xfId="85" applyNumberFormat="1" applyFont="1" applyBorder="1" applyAlignment="1">
      <alignment horizontal="center" vertical="center" shrinkToFit="1"/>
    </xf>
    <xf numFmtId="172" fontId="43" fillId="0" borderId="32" xfId="85" applyNumberFormat="1" applyFont="1" applyBorder="1" applyAlignment="1">
      <alignment horizontal="center" vertical="center" shrinkToFit="1"/>
    </xf>
    <xf numFmtId="174" fontId="43" fillId="0" borderId="32" xfId="85" applyNumberFormat="1" applyFont="1" applyBorder="1" applyAlignment="1">
      <alignment horizontal="center" vertical="center" shrinkToFit="1"/>
    </xf>
    <xf numFmtId="170" fontId="43" fillId="0" borderId="32" xfId="85" applyNumberFormat="1" applyFont="1" applyBorder="1" applyAlignment="1">
      <alignment horizontal="center" vertical="center" shrinkToFit="1"/>
    </xf>
    <xf numFmtId="49" fontId="43" fillId="22" borderId="33" xfId="0" applyNumberFormat="1" applyFont="1" applyFill="1" applyBorder="1" applyAlignment="1">
      <alignment horizontal="center" vertical="center"/>
    </xf>
    <xf numFmtId="0" fontId="19" fillId="22" borderId="33" xfId="0" applyFont="1" applyFill="1" applyBorder="1" applyAlignment="1">
      <alignment horizontal="center" vertical="center"/>
    </xf>
    <xf numFmtId="172" fontId="43" fillId="22" borderId="42" xfId="85" applyNumberFormat="1" applyFont="1" applyFill="1" applyBorder="1" applyAlignment="1">
      <alignment horizontal="center" vertical="center" shrinkToFit="1"/>
    </xf>
    <xf numFmtId="172" fontId="43" fillId="22" borderId="33" xfId="85" applyNumberFormat="1" applyFont="1" applyFill="1" applyBorder="1" applyAlignment="1">
      <alignment horizontal="center" vertical="center" shrinkToFit="1"/>
    </xf>
    <xf numFmtId="174" fontId="43" fillId="22" borderId="43" xfId="0" applyNumberFormat="1" applyFont="1" applyFill="1" applyBorder="1" applyAlignment="1">
      <alignment horizontal="center" vertical="center" shrinkToFit="1"/>
    </xf>
    <xf numFmtId="170" fontId="43" fillId="22" borderId="33" xfId="85" applyNumberFormat="1" applyFont="1" applyFill="1" applyBorder="1" applyAlignment="1">
      <alignment horizontal="center" vertical="center" shrinkToFit="1"/>
    </xf>
    <xf numFmtId="49" fontId="43" fillId="0" borderId="33" xfId="0" applyNumberFormat="1" applyFont="1" applyBorder="1" applyAlignment="1">
      <alignment horizontal="center" vertical="center"/>
    </xf>
    <xf numFmtId="0" fontId="19" fillId="0" borderId="33" xfId="0" applyFont="1" applyBorder="1" applyAlignment="1">
      <alignment horizontal="center" vertical="center"/>
    </xf>
    <xf numFmtId="172" fontId="43" fillId="0" borderId="42" xfId="85" applyNumberFormat="1" applyFont="1" applyBorder="1" applyAlignment="1">
      <alignment horizontal="center" vertical="center" shrinkToFit="1"/>
    </xf>
    <xf numFmtId="172" fontId="43" fillId="0" borderId="33" xfId="85" applyNumberFormat="1" applyFont="1" applyBorder="1" applyAlignment="1">
      <alignment horizontal="center" vertical="center" shrinkToFit="1"/>
    </xf>
    <xf numFmtId="174" fontId="43" fillId="0" borderId="43" xfId="0" applyNumberFormat="1" applyFont="1" applyBorder="1" applyAlignment="1">
      <alignment horizontal="center" vertical="center" shrinkToFit="1"/>
    </xf>
    <xf numFmtId="170" fontId="43" fillId="0" borderId="33" xfId="85" applyNumberFormat="1" applyFont="1" applyBorder="1" applyAlignment="1">
      <alignment horizontal="center" vertical="center" shrinkToFit="1"/>
    </xf>
    <xf numFmtId="174" fontId="43" fillId="22" borderId="38" xfId="0" applyNumberFormat="1" applyFont="1" applyFill="1" applyBorder="1" applyAlignment="1">
      <alignment horizontal="center" vertical="center" shrinkToFit="1"/>
    </xf>
    <xf numFmtId="171" fontId="46" fillId="22" borderId="32" xfId="85" applyNumberFormat="1" applyFont="1" applyFill="1" applyBorder="1" applyAlignment="1">
      <alignment horizontal="center" vertical="center" shrinkToFit="1"/>
    </xf>
    <xf numFmtId="170" fontId="46" fillId="22" borderId="32" xfId="85" applyNumberFormat="1" applyFont="1" applyFill="1" applyBorder="1" applyAlignment="1">
      <alignment horizontal="center" vertical="center" shrinkToFit="1"/>
    </xf>
    <xf numFmtId="170" fontId="46" fillId="22" borderId="29" xfId="85" applyNumberFormat="1" applyFont="1" applyFill="1" applyBorder="1" applyAlignment="1">
      <alignment horizontal="center" vertical="center" shrinkToFit="1"/>
    </xf>
    <xf numFmtId="170" fontId="46" fillId="22" borderId="41" xfId="85" applyNumberFormat="1" applyFont="1" applyFill="1" applyBorder="1" applyAlignment="1">
      <alignment horizontal="center" vertical="center" shrinkToFit="1"/>
    </xf>
    <xf numFmtId="10" fontId="46" fillId="22" borderId="32" xfId="85" applyNumberFormat="1" applyFont="1" applyFill="1" applyBorder="1" applyAlignment="1">
      <alignment horizontal="center" vertical="center"/>
    </xf>
    <xf numFmtId="171" fontId="46" fillId="0" borderId="32" xfId="85" applyNumberFormat="1" applyFont="1" applyBorder="1" applyAlignment="1">
      <alignment horizontal="center" vertical="center" shrinkToFit="1"/>
    </xf>
    <xf numFmtId="170" fontId="46" fillId="0" borderId="29" xfId="85" applyNumberFormat="1" applyFont="1" applyBorder="1" applyAlignment="1">
      <alignment horizontal="center" vertical="center" shrinkToFit="1"/>
    </xf>
    <xf numFmtId="170" fontId="46" fillId="0" borderId="1" xfId="85" applyNumberFormat="1" applyFont="1" applyBorder="1" applyAlignment="1">
      <alignment horizontal="center" vertical="center" shrinkToFit="1"/>
    </xf>
    <xf numFmtId="170" fontId="46" fillId="0" borderId="41" xfId="85" applyNumberFormat="1" applyFont="1" applyBorder="1" applyAlignment="1">
      <alignment horizontal="center" vertical="center" shrinkToFit="1"/>
    </xf>
    <xf numFmtId="10" fontId="46" fillId="0" borderId="32" xfId="85" applyNumberFormat="1" applyFont="1" applyBorder="1" applyAlignment="1">
      <alignment horizontal="center" vertical="center"/>
    </xf>
    <xf numFmtId="171" fontId="46" fillId="22" borderId="33" xfId="85" applyNumberFormat="1" applyFont="1" applyFill="1" applyBorder="1" applyAlignment="1">
      <alignment horizontal="center" vertical="center" shrinkToFit="1"/>
    </xf>
    <xf numFmtId="170" fontId="46" fillId="22" borderId="33" xfId="85" applyNumberFormat="1" applyFont="1" applyFill="1" applyBorder="1" applyAlignment="1">
      <alignment horizontal="center" vertical="center" shrinkToFit="1"/>
    </xf>
    <xf numFmtId="170" fontId="46" fillId="22" borderId="30" xfId="85" applyNumberFormat="1" applyFont="1" applyFill="1" applyBorder="1" applyAlignment="1">
      <alignment horizontal="center" vertical="center" shrinkToFit="1"/>
    </xf>
    <xf numFmtId="170" fontId="46" fillId="22" borderId="42" xfId="85" applyNumberFormat="1" applyFont="1" applyFill="1" applyBorder="1" applyAlignment="1">
      <alignment horizontal="center" vertical="center" shrinkToFit="1"/>
    </xf>
    <xf numFmtId="10" fontId="46" fillId="22" borderId="33" xfId="85" applyNumberFormat="1" applyFont="1" applyFill="1" applyBorder="1" applyAlignment="1">
      <alignment horizontal="center" vertical="center"/>
    </xf>
    <xf numFmtId="171" fontId="46" fillId="0" borderId="33" xfId="85" applyNumberFormat="1" applyFont="1" applyBorder="1" applyAlignment="1">
      <alignment horizontal="center" vertical="center" shrinkToFit="1"/>
    </xf>
    <xf numFmtId="170" fontId="46" fillId="0" borderId="30" xfId="85" applyNumberFormat="1" applyFont="1" applyBorder="1" applyAlignment="1">
      <alignment horizontal="center" vertical="center" shrinkToFit="1"/>
    </xf>
    <xf numFmtId="170" fontId="46" fillId="0" borderId="3" xfId="85" applyNumberFormat="1" applyFont="1" applyBorder="1" applyAlignment="1">
      <alignment horizontal="center" vertical="center" shrinkToFit="1"/>
    </xf>
    <xf numFmtId="170" fontId="46" fillId="0" borderId="42" xfId="85" applyNumberFormat="1" applyFont="1" applyBorder="1" applyAlignment="1">
      <alignment horizontal="center" vertical="center" shrinkToFit="1"/>
    </xf>
    <xf numFmtId="10" fontId="46" fillId="0" borderId="33" xfId="85" applyNumberFormat="1" applyFont="1" applyBorder="1" applyAlignment="1">
      <alignment horizontal="center" vertical="center"/>
    </xf>
    <xf numFmtId="174" fontId="43" fillId="22" borderId="44" xfId="0" applyNumberFormat="1" applyFont="1" applyFill="1" applyBorder="1" applyAlignment="1">
      <alignment horizontal="center" vertical="center" shrinkToFit="1"/>
    </xf>
    <xf numFmtId="174" fontId="43" fillId="0" borderId="44" xfId="0" applyNumberFormat="1" applyFont="1" applyBorder="1" applyAlignment="1">
      <alignment horizontal="center" vertical="center" shrinkToFit="1"/>
    </xf>
    <xf numFmtId="0" fontId="42" fillId="22" borderId="10" xfId="85" applyFont="1" applyFill="1" applyBorder="1" applyAlignment="1">
      <alignment horizontal="center" vertical="center"/>
    </xf>
    <xf numFmtId="170" fontId="42" fillId="22" borderId="10" xfId="85" applyNumberFormat="1" applyFont="1" applyFill="1" applyBorder="1" applyAlignment="1">
      <alignment horizontal="center" vertical="center"/>
    </xf>
    <xf numFmtId="173" fontId="42" fillId="22" borderId="10" xfId="85" applyNumberFormat="1" applyFont="1" applyFill="1" applyBorder="1" applyAlignment="1">
      <alignment horizontal="center" vertical="center"/>
    </xf>
    <xf numFmtId="171" fontId="45" fillId="22" borderId="10" xfId="85" applyNumberFormat="1" applyFont="1" applyFill="1" applyBorder="1" applyAlignment="1">
      <alignment horizontal="center" vertical="center"/>
    </xf>
    <xf numFmtId="170" fontId="45" fillId="22" borderId="10" xfId="85" applyNumberFormat="1" applyFont="1" applyFill="1" applyBorder="1" applyAlignment="1">
      <alignment horizontal="center" vertical="center"/>
    </xf>
    <xf numFmtId="10" fontId="45" fillId="22" borderId="10" xfId="85" applyNumberFormat="1" applyFont="1" applyFill="1" applyBorder="1" applyAlignment="1">
      <alignment horizontal="center" vertical="center"/>
    </xf>
    <xf numFmtId="172" fontId="45" fillId="22" borderId="0" xfId="85" applyNumberFormat="1" applyFont="1" applyFill="1" applyAlignment="1">
      <alignment horizontal="center" vertical="center"/>
    </xf>
    <xf numFmtId="10" fontId="45" fillId="22" borderId="0" xfId="85" applyNumberFormat="1" applyFont="1" applyFill="1" applyAlignment="1">
      <alignment horizontal="center" vertical="center"/>
    </xf>
    <xf numFmtId="172" fontId="45" fillId="22" borderId="0" xfId="85" applyNumberFormat="1" applyFont="1" applyFill="1" applyAlignment="1">
      <alignment vertical="center" wrapText="1"/>
    </xf>
    <xf numFmtId="174" fontId="42" fillId="0" borderId="10" xfId="85" applyNumberFormat="1" applyFont="1" applyBorder="1" applyAlignment="1">
      <alignment horizontal="center" vertical="center" shrinkToFit="1"/>
    </xf>
    <xf numFmtId="0" fontId="43" fillId="2" borderId="38" xfId="0" applyFont="1" applyFill="1" applyBorder="1" applyAlignment="1">
      <alignment horizontal="center" vertical="center"/>
    </xf>
    <xf numFmtId="0" fontId="19" fillId="2" borderId="38" xfId="0" applyFont="1" applyFill="1" applyBorder="1" applyAlignment="1">
      <alignment horizontal="center" vertical="center"/>
    </xf>
    <xf numFmtId="172" fontId="43" fillId="2" borderId="39" xfId="0" applyNumberFormat="1" applyFont="1" applyFill="1" applyBorder="1" applyAlignment="1">
      <alignment horizontal="center" vertical="center" shrinkToFit="1"/>
    </xf>
    <xf numFmtId="174" fontId="43" fillId="2" borderId="38" xfId="0" applyNumberFormat="1" applyFont="1" applyFill="1" applyBorder="1" applyAlignment="1">
      <alignment horizontal="center" vertical="center" shrinkToFit="1"/>
    </xf>
    <xf numFmtId="170" fontId="43" fillId="2" borderId="38" xfId="0" applyNumberFormat="1" applyFont="1" applyFill="1" applyBorder="1" applyAlignment="1">
      <alignment horizontal="center" vertical="center" shrinkToFit="1"/>
    </xf>
    <xf numFmtId="0" fontId="43" fillId="22" borderId="38" xfId="0" applyFont="1" applyFill="1" applyBorder="1" applyAlignment="1">
      <alignment horizontal="center" vertical="center"/>
    </xf>
    <xf numFmtId="0" fontId="19" fillId="22" borderId="38" xfId="0" applyFont="1" applyFill="1" applyBorder="1" applyAlignment="1">
      <alignment horizontal="center" vertical="center"/>
    </xf>
    <xf numFmtId="172" fontId="43" fillId="22" borderId="39" xfId="0" applyNumberFormat="1" applyFont="1" applyFill="1" applyBorder="1" applyAlignment="1">
      <alignment horizontal="center" vertical="center" shrinkToFit="1"/>
    </xf>
    <xf numFmtId="170" fontId="43" fillId="22" borderId="38" xfId="0" applyNumberFormat="1" applyFont="1" applyFill="1" applyBorder="1" applyAlignment="1">
      <alignment horizontal="center" vertical="center" shrinkToFit="1"/>
    </xf>
    <xf numFmtId="0" fontId="49" fillId="2" borderId="38" xfId="0" applyFont="1" applyFill="1" applyBorder="1" applyAlignment="1">
      <alignment horizontal="center" vertical="center"/>
    </xf>
    <xf numFmtId="172" fontId="49" fillId="2" borderId="39" xfId="0" applyNumberFormat="1" applyFont="1" applyFill="1" applyBorder="1" applyAlignment="1">
      <alignment horizontal="center" vertical="center" shrinkToFit="1"/>
    </xf>
    <xf numFmtId="172" fontId="49" fillId="2" borderId="38" xfId="0" applyNumberFormat="1" applyFont="1" applyFill="1" applyBorder="1" applyAlignment="1">
      <alignment horizontal="center" vertical="center"/>
    </xf>
    <xf numFmtId="170" fontId="49" fillId="2" borderId="38" xfId="0" applyNumberFormat="1" applyFont="1" applyFill="1" applyBorder="1" applyAlignment="1">
      <alignment horizontal="center" vertical="center" shrinkToFit="1"/>
    </xf>
    <xf numFmtId="0" fontId="43" fillId="25" borderId="38" xfId="0" applyFont="1" applyFill="1" applyBorder="1" applyAlignment="1">
      <alignment horizontal="center" vertical="center"/>
    </xf>
    <xf numFmtId="0" fontId="19" fillId="25" borderId="38" xfId="0" applyFont="1" applyFill="1" applyBorder="1" applyAlignment="1">
      <alignment horizontal="center" vertical="center"/>
    </xf>
    <xf numFmtId="172" fontId="43" fillId="25" borderId="39" xfId="0" applyNumberFormat="1" applyFont="1" applyFill="1" applyBorder="1" applyAlignment="1">
      <alignment horizontal="center" vertical="center" shrinkToFit="1"/>
    </xf>
    <xf numFmtId="172" fontId="43" fillId="2" borderId="38" xfId="0" applyNumberFormat="1" applyFont="1" applyFill="1" applyBorder="1" applyAlignment="1">
      <alignment horizontal="center" vertical="center" shrinkToFit="1"/>
    </xf>
    <xf numFmtId="0" fontId="43" fillId="22" borderId="10" xfId="85" applyFont="1" applyFill="1" applyBorder="1" applyAlignment="1">
      <alignment horizontal="center" vertical="center" shrinkToFit="1"/>
    </xf>
    <xf numFmtId="0" fontId="43" fillId="2" borderId="10" xfId="85" applyFont="1" applyFill="1" applyBorder="1" applyAlignment="1">
      <alignment horizontal="center" vertical="center" shrinkToFit="1"/>
    </xf>
    <xf numFmtId="0" fontId="43" fillId="0" borderId="10" xfId="85" applyFont="1" applyBorder="1" applyAlignment="1">
      <alignment horizontal="center" vertical="center" shrinkToFit="1"/>
    </xf>
    <xf numFmtId="171" fontId="47" fillId="2" borderId="38" xfId="0" applyNumberFormat="1" applyFont="1" applyFill="1" applyBorder="1" applyAlignment="1">
      <alignment horizontal="center" vertical="center" shrinkToFit="1"/>
    </xf>
    <xf numFmtId="171" fontId="47" fillId="22" borderId="38" xfId="0" applyNumberFormat="1" applyFont="1" applyFill="1" applyBorder="1" applyAlignment="1">
      <alignment horizontal="center" vertical="center" shrinkToFit="1"/>
    </xf>
    <xf numFmtId="171" fontId="49" fillId="2" borderId="38" xfId="0" applyNumberFormat="1" applyFont="1" applyFill="1" applyBorder="1" applyAlignment="1">
      <alignment horizontal="center" vertical="center" shrinkToFit="1"/>
    </xf>
    <xf numFmtId="170" fontId="49" fillId="2" borderId="10" xfId="85" applyNumberFormat="1" applyFont="1" applyFill="1" applyBorder="1" applyAlignment="1">
      <alignment horizontal="center" vertical="center" shrinkToFit="1"/>
    </xf>
    <xf numFmtId="170" fontId="49" fillId="2" borderId="11" xfId="85" applyNumberFormat="1" applyFont="1" applyFill="1" applyBorder="1" applyAlignment="1">
      <alignment horizontal="center" vertical="center" shrinkToFit="1"/>
    </xf>
    <xf numFmtId="170" fontId="49" fillId="2" borderId="37" xfId="85" applyNumberFormat="1" applyFont="1" applyFill="1" applyBorder="1" applyAlignment="1">
      <alignment horizontal="center" vertical="center" shrinkToFit="1"/>
    </xf>
    <xf numFmtId="10" fontId="49" fillId="2" borderId="10" xfId="85" applyNumberFormat="1" applyFont="1" applyFill="1" applyBorder="1" applyAlignment="1">
      <alignment horizontal="center" vertical="center"/>
    </xf>
    <xf numFmtId="172" fontId="50" fillId="2" borderId="0" xfId="85" applyNumberFormat="1" applyFont="1" applyFill="1" applyAlignment="1">
      <alignment horizontal="left" vertical="center"/>
    </xf>
    <xf numFmtId="172" fontId="51" fillId="25" borderId="0" xfId="85" applyNumberFormat="1" applyFont="1" applyFill="1" applyAlignment="1">
      <alignment horizontal="left" vertical="center"/>
    </xf>
    <xf numFmtId="172" fontId="46" fillId="25" borderId="0" xfId="85" applyNumberFormat="1" applyFont="1" applyFill="1" applyAlignment="1">
      <alignment horizontal="center" vertical="center"/>
    </xf>
    <xf numFmtId="171" fontId="46" fillId="0" borderId="0" xfId="85" applyNumberFormat="1" applyFont="1" applyAlignment="1">
      <alignment vertical="center"/>
    </xf>
    <xf numFmtId="0" fontId="19" fillId="22" borderId="0" xfId="0" applyFont="1" applyFill="1" applyAlignment="1"/>
    <xf numFmtId="173" fontId="43" fillId="0" borderId="10" xfId="85" applyNumberFormat="1" applyFont="1" applyBorder="1" applyAlignment="1">
      <alignment horizontal="center" vertical="center" shrinkToFit="1"/>
    </xf>
    <xf numFmtId="0" fontId="42" fillId="0" borderId="10" xfId="62" applyFont="1" applyBorder="1" applyAlignment="1">
      <alignment horizontal="center" vertical="center" shrinkToFit="1"/>
    </xf>
    <xf numFmtId="170" fontId="42" fillId="0" borderId="10" xfId="85" applyNumberFormat="1" applyFont="1" applyBorder="1" applyAlignment="1">
      <alignment vertical="center" shrinkToFit="1"/>
    </xf>
    <xf numFmtId="0" fontId="43" fillId="0" borderId="10" xfId="62" applyFont="1" applyBorder="1" applyAlignment="1">
      <alignment horizontal="center" vertical="center" shrinkToFit="1"/>
    </xf>
    <xf numFmtId="170" fontId="19" fillId="0" borderId="10" xfId="85" applyNumberFormat="1" applyFont="1" applyBorder="1" applyAlignment="1">
      <alignment vertical="center" shrinkToFit="1"/>
    </xf>
    <xf numFmtId="170" fontId="43" fillId="0" borderId="10" xfId="0" applyNumberFormat="1" applyFont="1" applyBorder="1" applyAlignment="1"/>
    <xf numFmtId="170" fontId="43" fillId="0" borderId="10" xfId="62" applyNumberFormat="1" applyFont="1" applyBorder="1" applyAlignment="1">
      <alignment horizontal="left" vertical="center" shrinkToFit="1"/>
    </xf>
    <xf numFmtId="170" fontId="43" fillId="2" borderId="10" xfId="62" applyNumberFormat="1" applyFont="1" applyFill="1" applyBorder="1" applyAlignment="1">
      <alignment horizontal="left" vertical="center" shrinkToFit="1"/>
    </xf>
    <xf numFmtId="173" fontId="19" fillId="0" borderId="10" xfId="85" applyNumberFormat="1" applyFont="1" applyBorder="1" applyAlignment="1">
      <alignment horizontal="center" vertical="center" shrinkToFit="1"/>
    </xf>
    <xf numFmtId="170" fontId="52" fillId="2" borderId="10" xfId="62" applyNumberFormat="1" applyFont="1" applyFill="1" applyBorder="1" applyAlignment="1">
      <alignment horizontal="left" vertical="center" shrinkToFit="1"/>
    </xf>
    <xf numFmtId="173" fontId="43" fillId="0" borderId="10" xfId="62" applyNumberFormat="1" applyFont="1" applyBorder="1" applyAlignment="1">
      <alignment horizontal="center" vertical="center" shrinkToFit="1"/>
    </xf>
    <xf numFmtId="170" fontId="43" fillId="2" borderId="10" xfId="62" applyNumberFormat="1" applyFont="1" applyFill="1" applyBorder="1" applyAlignment="1">
      <alignment horizontal="left" vertical="center" wrapText="1" shrinkToFit="1"/>
    </xf>
    <xf numFmtId="172" fontId="43" fillId="0" borderId="10" xfId="85" applyNumberFormat="1" applyFont="1" applyBorder="1"/>
    <xf numFmtId="173" fontId="42" fillId="0" borderId="32" xfId="85" applyNumberFormat="1" applyFont="1" applyBorder="1" applyAlignment="1">
      <alignment horizontal="center" vertical="center" shrinkToFit="1"/>
    </xf>
    <xf numFmtId="173" fontId="43" fillId="0" borderId="32" xfId="62" applyNumberFormat="1" applyFont="1" applyBorder="1" applyAlignment="1">
      <alignment horizontal="center" vertical="center" shrinkToFit="1"/>
    </xf>
    <xf numFmtId="170" fontId="42" fillId="0" borderId="32" xfId="62" applyNumberFormat="1" applyFont="1" applyBorder="1" applyAlignment="1">
      <alignment vertical="center" shrinkToFit="1"/>
    </xf>
    <xf numFmtId="173" fontId="43" fillId="0" borderId="32" xfId="85" applyNumberFormat="1" applyFont="1" applyBorder="1" applyAlignment="1">
      <alignment horizontal="center" vertical="center" shrinkToFit="1"/>
    </xf>
    <xf numFmtId="170" fontId="43" fillId="0" borderId="32" xfId="62" applyNumberFormat="1" applyFont="1" applyBorder="1" applyAlignment="1">
      <alignment vertical="center" shrinkToFit="1"/>
    </xf>
    <xf numFmtId="170" fontId="42" fillId="0" borderId="10" xfId="62" applyNumberFormat="1" applyFont="1" applyBorder="1" applyAlignment="1">
      <alignment vertical="center" shrinkToFit="1"/>
    </xf>
    <xf numFmtId="0" fontId="43" fillId="0" borderId="0" xfId="85" applyFont="1" applyAlignment="1">
      <alignment horizontal="center" vertical="center"/>
    </xf>
    <xf numFmtId="170" fontId="19" fillId="0" borderId="0" xfId="85" applyNumberFormat="1" applyFont="1" applyAlignment="1">
      <alignment vertical="center"/>
    </xf>
    <xf numFmtId="170" fontId="43" fillId="0" borderId="0" xfId="85" applyNumberFormat="1" applyFont="1" applyAlignment="1">
      <alignment vertical="center"/>
    </xf>
    <xf numFmtId="172" fontId="43" fillId="0" borderId="10" xfId="85" applyNumberFormat="1" applyFont="1" applyBorder="1" applyAlignment="1">
      <alignment vertical="center"/>
    </xf>
    <xf numFmtId="173" fontId="43" fillId="0" borderId="0" xfId="85" applyNumberFormat="1" applyFont="1" applyAlignment="1">
      <alignment vertical="center"/>
    </xf>
    <xf numFmtId="10" fontId="43" fillId="0" borderId="10" xfId="85" applyNumberFormat="1" applyFont="1" applyBorder="1" applyAlignment="1">
      <alignment vertical="center"/>
    </xf>
    <xf numFmtId="10" fontId="43" fillId="0" borderId="0" xfId="85" applyNumberFormat="1" applyFont="1" applyAlignment="1">
      <alignment vertical="center"/>
    </xf>
    <xf numFmtId="173" fontId="42" fillId="0" borderId="0" xfId="85" applyNumberFormat="1" applyFont="1" applyAlignment="1">
      <alignment horizontal="center" vertical="center"/>
    </xf>
    <xf numFmtId="173" fontId="42" fillId="0" borderId="0" xfId="85" applyNumberFormat="1" applyFont="1" applyAlignment="1">
      <alignment vertical="center"/>
    </xf>
    <xf numFmtId="170" fontId="19" fillId="0" borderId="0" xfId="85" applyNumberFormat="1" applyFont="1" applyAlignment="1">
      <alignment horizontal="center" vertical="center"/>
    </xf>
    <xf numFmtId="0" fontId="42" fillId="0" borderId="34" xfId="0" applyFont="1" applyBorder="1" applyAlignment="1">
      <alignment horizontal="center" vertical="center" wrapText="1"/>
    </xf>
    <xf numFmtId="0" fontId="42" fillId="0" borderId="16" xfId="0" applyFont="1" applyBorder="1" applyAlignment="1">
      <alignment horizontal="center" vertical="center" wrapText="1"/>
    </xf>
    <xf numFmtId="170" fontId="45" fillId="0" borderId="30" xfId="85" applyNumberFormat="1" applyFont="1" applyBorder="1" applyAlignment="1">
      <alignment horizontal="center" vertical="center" shrinkToFit="1"/>
    </xf>
    <xf numFmtId="170" fontId="45" fillId="0" borderId="42" xfId="85" applyNumberFormat="1" applyFont="1" applyBorder="1" applyAlignment="1">
      <alignment horizontal="center" vertical="center" shrinkToFit="1"/>
    </xf>
    <xf numFmtId="171" fontId="45" fillId="0" borderId="10" xfId="5" applyNumberFormat="1" applyFont="1" applyFill="1" applyBorder="1" applyAlignment="1">
      <alignment horizontal="center" vertical="center" shrinkToFit="1"/>
    </xf>
    <xf numFmtId="170" fontId="45" fillId="0" borderId="11" xfId="5" applyNumberFormat="1" applyFont="1" applyFill="1" applyBorder="1" applyAlignment="1">
      <alignment horizontal="center" vertical="center" shrinkToFit="1"/>
    </xf>
    <xf numFmtId="170" fontId="46" fillId="0" borderId="11" xfId="62" applyNumberFormat="1" applyFont="1" applyBorder="1" applyAlignment="1">
      <alignment horizontal="center" vertical="center" shrinkToFit="1"/>
    </xf>
    <xf numFmtId="170" fontId="46" fillId="0" borderId="37" xfId="62" applyNumberFormat="1" applyFont="1" applyBorder="1" applyAlignment="1">
      <alignment horizontal="center" vertical="center" shrinkToFit="1"/>
    </xf>
    <xf numFmtId="173" fontId="46" fillId="0" borderId="0" xfId="85" applyNumberFormat="1" applyFont="1" applyAlignment="1">
      <alignment horizontal="center" vertical="center" shrinkToFit="1"/>
    </xf>
    <xf numFmtId="171" fontId="46" fillId="0" borderId="10" xfId="5" applyNumberFormat="1" applyFont="1" applyFill="1" applyBorder="1" applyAlignment="1">
      <alignment horizontal="center" vertical="center" shrinkToFit="1"/>
    </xf>
    <xf numFmtId="170" fontId="46" fillId="0" borderId="11" xfId="5" applyNumberFormat="1" applyFont="1" applyFill="1" applyBorder="1" applyAlignment="1">
      <alignment horizontal="center" vertical="center" shrinkToFit="1"/>
    </xf>
    <xf numFmtId="171" fontId="45" fillId="0" borderId="32" xfId="85" applyNumberFormat="1" applyFont="1" applyBorder="1" applyAlignment="1">
      <alignment horizontal="center" vertical="center" shrinkToFit="1"/>
    </xf>
    <xf numFmtId="170" fontId="45" fillId="0" borderId="29" xfId="85" applyNumberFormat="1" applyFont="1" applyBorder="1" applyAlignment="1">
      <alignment horizontal="center" vertical="center" shrinkToFit="1"/>
    </xf>
    <xf numFmtId="170" fontId="46" fillId="0" borderId="0" xfId="85" applyNumberFormat="1" applyFont="1" applyAlignment="1">
      <alignment vertical="center"/>
    </xf>
    <xf numFmtId="10" fontId="46" fillId="0" borderId="0" xfId="85" applyNumberFormat="1" applyFont="1" applyAlignment="1">
      <alignment vertical="center"/>
    </xf>
    <xf numFmtId="172" fontId="43" fillId="0" borderId="0" xfId="85" applyNumberFormat="1" applyFont="1"/>
    <xf numFmtId="170" fontId="42" fillId="21" borderId="0" xfId="5" applyNumberFormat="1" applyFont="1" applyFill="1" applyAlignment="1">
      <alignment horizontal="center"/>
    </xf>
    <xf numFmtId="170" fontId="42" fillId="21" borderId="0" xfId="0" applyNumberFormat="1" applyFont="1" applyFill="1" applyAlignment="1"/>
    <xf numFmtId="170" fontId="43" fillId="21" borderId="0" xfId="5" applyNumberFormat="1" applyFont="1" applyFill="1" applyAlignment="1">
      <alignment horizontal="center"/>
    </xf>
    <xf numFmtId="170" fontId="43" fillId="21" borderId="0" xfId="85" applyNumberFormat="1" applyFont="1" applyFill="1"/>
    <xf numFmtId="170" fontId="43" fillId="21" borderId="0" xfId="0" applyNumberFormat="1" applyFont="1" applyFill="1" applyAlignment="1"/>
    <xf numFmtId="170" fontId="43" fillId="0" borderId="0" xfId="5" applyNumberFormat="1" applyFont="1" applyFill="1" applyAlignment="1">
      <alignment horizontal="center"/>
    </xf>
    <xf numFmtId="170" fontId="46" fillId="0" borderId="0" xfId="5" applyNumberFormat="1" applyFont="1" applyFill="1" applyAlignment="1">
      <alignment horizontal="center"/>
    </xf>
    <xf numFmtId="170" fontId="46" fillId="0" borderId="0" xfId="85" applyNumberFormat="1" applyFont="1"/>
    <xf numFmtId="172" fontId="46" fillId="0" borderId="0" xfId="85" applyNumberFormat="1" applyFont="1"/>
    <xf numFmtId="172" fontId="43" fillId="0" borderId="0" xfId="5" applyNumberFormat="1" applyFont="1" applyFill="1" applyAlignment="1">
      <alignment horizontal="center"/>
    </xf>
    <xf numFmtId="172" fontId="46" fillId="0" borderId="10" xfId="85" applyNumberFormat="1" applyFont="1" applyBorder="1" applyAlignment="1">
      <alignment horizontal="center" vertical="center" wrapText="1"/>
    </xf>
    <xf numFmtId="170" fontId="43" fillId="0" borderId="10" xfId="5" applyNumberFormat="1" applyFont="1" applyFill="1" applyBorder="1" applyAlignment="1"/>
    <xf numFmtId="170" fontId="42" fillId="0" borderId="10" xfId="85" applyNumberFormat="1" applyFont="1" applyBorder="1"/>
    <xf numFmtId="172" fontId="46" fillId="0" borderId="0" xfId="85" applyNumberFormat="1" applyFont="1" applyAlignment="1">
      <alignment vertical="center" wrapText="1"/>
    </xf>
    <xf numFmtId="0" fontId="43" fillId="0" borderId="20" xfId="0" applyFont="1" applyBorder="1" applyAlignment="1">
      <alignment horizontal="center" vertical="center" wrapText="1"/>
    </xf>
    <xf numFmtId="0" fontId="43" fillId="0" borderId="21" xfId="0" applyFont="1" applyBorder="1" applyAlignment="1">
      <alignment horizontal="center" vertical="center" wrapText="1"/>
    </xf>
    <xf numFmtId="173" fontId="43" fillId="0" borderId="21" xfId="0" applyNumberFormat="1" applyFont="1" applyBorder="1" applyAlignment="1">
      <alignment horizontal="center" vertical="center" wrapText="1"/>
    </xf>
    <xf numFmtId="10" fontId="43" fillId="0" borderId="21" xfId="0" applyNumberFormat="1" applyFont="1" applyBorder="1" applyAlignment="1">
      <alignment horizontal="center" vertical="center" wrapText="1"/>
    </xf>
    <xf numFmtId="170" fontId="42" fillId="0" borderId="0" xfId="85" applyNumberFormat="1" applyFont="1" applyAlignment="1">
      <alignment vertical="center"/>
    </xf>
    <xf numFmtId="170" fontId="19" fillId="0" borderId="0" xfId="85" applyNumberFormat="1" applyFont="1" applyAlignment="1">
      <alignment horizontal="left" vertical="center"/>
    </xf>
    <xf numFmtId="170" fontId="43" fillId="0" borderId="0" xfId="85" applyNumberFormat="1" applyFont="1" applyAlignment="1">
      <alignment horizontal="left" vertical="center"/>
    </xf>
    <xf numFmtId="172" fontId="43" fillId="0" borderId="21" xfId="0" applyNumberFormat="1" applyFont="1" applyBorder="1" applyAlignment="1">
      <alignment horizontal="center" vertical="center" wrapText="1"/>
    </xf>
    <xf numFmtId="172" fontId="43" fillId="0" borderId="0" xfId="85" applyNumberFormat="1" applyFont="1" applyAlignment="1">
      <alignment vertical="center"/>
    </xf>
    <xf numFmtId="170" fontId="43" fillId="0" borderId="21" xfId="0" applyNumberFormat="1" applyFont="1" applyBorder="1" applyAlignment="1">
      <alignment horizontal="center" vertical="center" wrapText="1"/>
    </xf>
    <xf numFmtId="171" fontId="45" fillId="0" borderId="0" xfId="85" applyNumberFormat="1" applyFont="1" applyAlignment="1">
      <alignment vertical="center"/>
    </xf>
    <xf numFmtId="172" fontId="46" fillId="0" borderId="0" xfId="85" applyNumberFormat="1" applyFont="1" applyAlignment="1">
      <alignment vertical="center"/>
    </xf>
    <xf numFmtId="173" fontId="45" fillId="0" borderId="10" xfId="85" applyNumberFormat="1" applyFont="1" applyBorder="1" applyAlignment="1">
      <alignment horizontal="center" vertical="center" shrinkToFit="1"/>
    </xf>
    <xf numFmtId="0" fontId="53" fillId="0" borderId="0" xfId="0" applyFont="1">
      <alignment vertical="center"/>
    </xf>
    <xf numFmtId="0" fontId="54" fillId="0" borderId="0" xfId="0" applyFont="1">
      <alignment vertical="center"/>
    </xf>
    <xf numFmtId="0" fontId="30" fillId="0" borderId="0" xfId="0" applyFont="1">
      <alignment vertical="center"/>
    </xf>
    <xf numFmtId="0" fontId="39" fillId="0" borderId="0" xfId="0" applyFont="1">
      <alignment vertical="center"/>
    </xf>
    <xf numFmtId="0" fontId="55" fillId="0" borderId="0" xfId="0" applyFont="1">
      <alignment vertical="center"/>
    </xf>
    <xf numFmtId="0" fontId="55" fillId="0" borderId="0" xfId="0" applyFont="1" applyAlignment="1">
      <alignment horizontal="left" vertical="center"/>
    </xf>
    <xf numFmtId="172" fontId="55" fillId="0" borderId="0" xfId="0" applyNumberFormat="1" applyFont="1">
      <alignment vertical="center"/>
    </xf>
    <xf numFmtId="49" fontId="43" fillId="0" borderId="0" xfId="0" applyNumberFormat="1" applyFont="1">
      <alignment vertical="center"/>
    </xf>
    <xf numFmtId="172" fontId="57" fillId="10" borderId="10" xfId="0" applyNumberFormat="1" applyFont="1" applyFill="1" applyBorder="1" applyAlignment="1">
      <alignment horizontal="center" vertical="center" wrapText="1"/>
    </xf>
    <xf numFmtId="0" fontId="57" fillId="10" borderId="10" xfId="0" applyFont="1" applyFill="1" applyBorder="1" applyAlignment="1">
      <alignment horizontal="center" vertical="center" wrapText="1"/>
    </xf>
    <xf numFmtId="0" fontId="55" fillId="2" borderId="32" xfId="0" applyFont="1" applyFill="1" applyBorder="1" applyAlignment="1">
      <alignment horizontal="center" vertical="center" wrapText="1"/>
    </xf>
    <xf numFmtId="0" fontId="55" fillId="2" borderId="10" xfId="0" applyFont="1" applyFill="1" applyBorder="1" applyAlignment="1">
      <alignment horizontal="center" vertical="center" wrapText="1"/>
    </xf>
    <xf numFmtId="0" fontId="55" fillId="2" borderId="10" xfId="0" applyFont="1" applyFill="1" applyBorder="1" applyAlignment="1" applyProtection="1">
      <alignment horizontal="left" vertical="center" wrapText="1"/>
      <protection locked="0"/>
    </xf>
    <xf numFmtId="172" fontId="55" fillId="2" borderId="10" xfId="0" applyNumberFormat="1" applyFont="1" applyFill="1" applyBorder="1" applyAlignment="1">
      <alignment horizontal="center" vertical="center" wrapText="1"/>
    </xf>
    <xf numFmtId="169" fontId="55" fillId="2" borderId="10" xfId="0" applyNumberFormat="1" applyFont="1" applyFill="1" applyBorder="1" applyAlignment="1">
      <alignment horizontal="right" vertical="center" wrapText="1"/>
    </xf>
    <xf numFmtId="10" fontId="55" fillId="2" borderId="10" xfId="0" applyNumberFormat="1" applyFont="1" applyFill="1" applyBorder="1" applyAlignment="1">
      <alignment horizontal="center" vertical="center" wrapText="1"/>
    </xf>
    <xf numFmtId="169" fontId="58" fillId="2" borderId="10" xfId="0" applyNumberFormat="1" applyFont="1" applyFill="1" applyBorder="1" applyAlignment="1">
      <alignment horizontal="right" vertical="center" wrapText="1"/>
    </xf>
    <xf numFmtId="10" fontId="58" fillId="2" borderId="10" xfId="0" applyNumberFormat="1" applyFont="1" applyFill="1" applyBorder="1" applyAlignment="1">
      <alignment horizontal="center" vertical="center" wrapText="1"/>
    </xf>
    <xf numFmtId="0" fontId="55" fillId="18" borderId="32" xfId="0" applyFont="1" applyFill="1" applyBorder="1" applyAlignment="1">
      <alignment horizontal="center" vertical="center" wrapText="1"/>
    </xf>
    <xf numFmtId="0" fontId="55" fillId="18" borderId="10" xfId="0" applyFont="1" applyFill="1" applyBorder="1" applyAlignment="1">
      <alignment horizontal="center" vertical="center" wrapText="1"/>
    </xf>
    <xf numFmtId="0" fontId="55" fillId="18" borderId="10" xfId="0" applyFont="1" applyFill="1" applyBorder="1" applyAlignment="1" applyProtection="1">
      <alignment horizontal="left" vertical="center" wrapText="1"/>
      <protection locked="0"/>
    </xf>
    <xf numFmtId="172" fontId="55" fillId="18" borderId="10" xfId="0" applyNumberFormat="1" applyFont="1" applyFill="1" applyBorder="1" applyAlignment="1">
      <alignment horizontal="center" vertical="center" wrapText="1"/>
    </xf>
    <xf numFmtId="169" fontId="58" fillId="18" borderId="10" xfId="0" applyNumberFormat="1" applyFont="1" applyFill="1" applyBorder="1" applyAlignment="1">
      <alignment horizontal="right" vertical="center" wrapText="1"/>
    </xf>
    <xf numFmtId="10" fontId="58" fillId="18" borderId="10" xfId="0" applyNumberFormat="1" applyFont="1" applyFill="1" applyBorder="1" applyAlignment="1">
      <alignment horizontal="center" vertical="center" wrapText="1"/>
    </xf>
    <xf numFmtId="169" fontId="55" fillId="18" borderId="10" xfId="0" applyNumberFormat="1" applyFont="1" applyFill="1" applyBorder="1" applyAlignment="1">
      <alignment horizontal="right" vertical="center" wrapText="1"/>
    </xf>
    <xf numFmtId="10" fontId="55" fillId="18" borderId="10" xfId="0" applyNumberFormat="1" applyFont="1" applyFill="1" applyBorder="1" applyAlignment="1">
      <alignment horizontal="center" vertical="center" wrapText="1"/>
    </xf>
    <xf numFmtId="0" fontId="55" fillId="15" borderId="32" xfId="0" applyFont="1" applyFill="1" applyBorder="1" applyAlignment="1">
      <alignment horizontal="center" vertical="center" wrapText="1"/>
    </xf>
    <xf numFmtId="0" fontId="55" fillId="15" borderId="10" xfId="0" applyFont="1" applyFill="1" applyBorder="1" applyAlignment="1">
      <alignment horizontal="center" vertical="center" wrapText="1"/>
    </xf>
    <xf numFmtId="0" fontId="52" fillId="15" borderId="10" xfId="0" applyFont="1" applyFill="1" applyBorder="1" applyAlignment="1" applyProtection="1">
      <alignment horizontal="left" vertical="center" wrapText="1"/>
      <protection locked="0"/>
    </xf>
    <xf numFmtId="172" fontId="55" fillId="15" borderId="10" xfId="0" applyNumberFormat="1" applyFont="1" applyFill="1" applyBorder="1" applyAlignment="1">
      <alignment horizontal="center" vertical="center" wrapText="1"/>
    </xf>
    <xf numFmtId="169" fontId="58" fillId="15" borderId="10" xfId="0" applyNumberFormat="1" applyFont="1" applyFill="1" applyBorder="1" applyAlignment="1">
      <alignment horizontal="right" vertical="center" wrapText="1"/>
    </xf>
    <xf numFmtId="169" fontId="55" fillId="15" borderId="10" xfId="0" applyNumberFormat="1" applyFont="1" applyFill="1" applyBorder="1" applyAlignment="1">
      <alignment horizontal="right" vertical="center" wrapText="1"/>
    </xf>
    <xf numFmtId="10" fontId="55" fillId="15" borderId="10" xfId="0" applyNumberFormat="1" applyFont="1" applyFill="1" applyBorder="1" applyAlignment="1">
      <alignment horizontal="center" vertical="center" wrapText="1"/>
    </xf>
    <xf numFmtId="0" fontId="55" fillId="0" borderId="32"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10" xfId="0" applyFont="1" applyBorder="1" applyAlignment="1" applyProtection="1">
      <alignment horizontal="left" vertical="center" wrapText="1"/>
      <protection locked="0"/>
    </xf>
    <xf numFmtId="172" fontId="55" fillId="0" borderId="10" xfId="0" applyNumberFormat="1" applyFont="1" applyBorder="1" applyAlignment="1">
      <alignment horizontal="center" vertical="center" wrapText="1"/>
    </xf>
    <xf numFmtId="169" fontId="58" fillId="0" borderId="10" xfId="0" applyNumberFormat="1" applyFont="1" applyBorder="1" applyAlignment="1">
      <alignment horizontal="right" vertical="center" wrapText="1"/>
    </xf>
    <xf numFmtId="169" fontId="55" fillId="0" borderId="10" xfId="0" applyNumberFormat="1" applyFont="1" applyBorder="1" applyAlignment="1">
      <alignment horizontal="right" vertical="center" wrapText="1"/>
    </xf>
    <xf numFmtId="10" fontId="55" fillId="0" borderId="10" xfId="0" applyNumberFormat="1" applyFont="1" applyBorder="1" applyAlignment="1">
      <alignment horizontal="center" vertical="center" wrapText="1"/>
    </xf>
    <xf numFmtId="0" fontId="52" fillId="0" borderId="10" xfId="0" applyFont="1" applyBorder="1" applyAlignment="1" applyProtection="1">
      <alignment horizontal="left" vertical="center" wrapText="1"/>
      <protection locked="0"/>
    </xf>
    <xf numFmtId="170" fontId="43" fillId="0" borderId="10" xfId="62" applyNumberFormat="1" applyFont="1" applyBorder="1" applyAlignment="1">
      <alignment horizontal="left" vertical="center" wrapText="1" shrinkToFit="1"/>
    </xf>
    <xf numFmtId="0" fontId="57" fillId="2" borderId="0" xfId="0" applyFont="1" applyFill="1" applyAlignment="1">
      <alignment horizontal="right" vertical="center"/>
    </xf>
    <xf numFmtId="40" fontId="59" fillId="2" borderId="0" xfId="0" applyNumberFormat="1" applyFont="1" applyFill="1">
      <alignment vertical="center"/>
    </xf>
    <xf numFmtId="40" fontId="55" fillId="0" borderId="0" xfId="0" applyNumberFormat="1" applyFont="1">
      <alignment vertical="center"/>
    </xf>
    <xf numFmtId="40" fontId="56" fillId="2" borderId="0" xfId="0" applyNumberFormat="1" applyFont="1" applyFill="1">
      <alignment vertical="center"/>
    </xf>
    <xf numFmtId="40" fontId="56" fillId="25" borderId="0" xfId="0" applyNumberFormat="1" applyFont="1" applyFill="1">
      <alignment vertical="center"/>
    </xf>
    <xf numFmtId="172" fontId="55" fillId="25" borderId="0" xfId="0" applyNumberFormat="1" applyFont="1" applyFill="1">
      <alignment vertical="center"/>
    </xf>
    <xf numFmtId="0" fontId="56" fillId="2" borderId="0" xfId="0" applyFont="1" applyFill="1" applyAlignment="1">
      <alignment horizontal="right" vertical="center"/>
    </xf>
    <xf numFmtId="0" fontId="56" fillId="0" borderId="0" xfId="0" applyFont="1" applyAlignment="1">
      <alignment horizontal="right" vertical="center"/>
    </xf>
    <xf numFmtId="40" fontId="56" fillId="0" borderId="0" xfId="0" applyNumberFormat="1" applyFont="1">
      <alignment vertical="center"/>
    </xf>
    <xf numFmtId="40" fontId="55" fillId="25" borderId="0" xfId="0" applyNumberFormat="1" applyFont="1" applyFill="1">
      <alignment vertical="center"/>
    </xf>
    <xf numFmtId="172" fontId="55" fillId="25" borderId="0" xfId="0" applyNumberFormat="1" applyFont="1" applyFill="1" applyAlignment="1">
      <alignment horizontal="right" vertical="center"/>
    </xf>
    <xf numFmtId="172" fontId="52" fillId="2" borderId="10" xfId="0" applyNumberFormat="1" applyFont="1" applyFill="1" applyBorder="1" applyAlignment="1">
      <alignment horizontal="center" vertical="center" wrapText="1"/>
    </xf>
    <xf numFmtId="0" fontId="52" fillId="2" borderId="10" xfId="0" applyFont="1" applyFill="1" applyBorder="1" applyAlignment="1">
      <alignment horizontal="center" vertical="center" wrapText="1"/>
    </xf>
    <xf numFmtId="49" fontId="58" fillId="2" borderId="10" xfId="0" applyNumberFormat="1" applyFont="1" applyFill="1" applyBorder="1" applyAlignment="1">
      <alignment horizontal="center" vertical="center" wrapText="1"/>
    </xf>
    <xf numFmtId="0" fontId="58" fillId="2" borderId="10" xfId="0" applyFont="1" applyFill="1" applyBorder="1" applyAlignment="1">
      <alignment horizontal="center" vertical="center"/>
    </xf>
    <xf numFmtId="173" fontId="51" fillId="2" borderId="10" xfId="0" applyNumberFormat="1" applyFont="1" applyFill="1" applyBorder="1" applyAlignment="1">
      <alignment horizontal="center" vertical="center" wrapText="1"/>
    </xf>
    <xf numFmtId="0" fontId="55" fillId="2" borderId="0" xfId="0" applyFont="1" applyFill="1" applyAlignment="1">
      <alignment horizontal="center" vertical="center"/>
    </xf>
    <xf numFmtId="173" fontId="52" fillId="2" borderId="10" xfId="0" applyNumberFormat="1" applyFont="1" applyFill="1" applyBorder="1" applyAlignment="1">
      <alignment horizontal="center" vertical="center" wrapText="1"/>
    </xf>
    <xf numFmtId="172" fontId="51" fillId="2" borderId="10" xfId="0" applyNumberFormat="1" applyFont="1" applyFill="1" applyBorder="1" applyAlignment="1">
      <alignment horizontal="center" vertical="center" wrapText="1"/>
    </xf>
    <xf numFmtId="0" fontId="58" fillId="2" borderId="10" xfId="0" applyFont="1" applyFill="1" applyBorder="1" applyAlignment="1">
      <alignment horizontal="center" vertical="center" wrapText="1"/>
    </xf>
    <xf numFmtId="0" fontId="51" fillId="2" borderId="10" xfId="0" applyFont="1" applyFill="1" applyBorder="1" applyAlignment="1">
      <alignment horizontal="center" vertical="center" wrapText="1"/>
    </xf>
    <xf numFmtId="172" fontId="51" fillId="18" borderId="10" xfId="0" applyNumberFormat="1" applyFont="1" applyFill="1" applyBorder="1" applyAlignment="1">
      <alignment horizontal="center" vertical="center" wrapText="1"/>
    </xf>
    <xf numFmtId="0" fontId="58" fillId="18" borderId="10" xfId="0" applyFont="1" applyFill="1" applyBorder="1" applyAlignment="1">
      <alignment horizontal="center" vertical="center" wrapText="1"/>
    </xf>
    <xf numFmtId="0" fontId="51" fillId="18" borderId="10" xfId="0" applyFont="1" applyFill="1" applyBorder="1" applyAlignment="1">
      <alignment horizontal="center" vertical="center" wrapText="1"/>
    </xf>
    <xf numFmtId="49" fontId="58" fillId="18" borderId="10" xfId="0" applyNumberFormat="1" applyFont="1" applyFill="1" applyBorder="1" applyAlignment="1">
      <alignment horizontal="center" vertical="center" wrapText="1"/>
    </xf>
    <xf numFmtId="0" fontId="58" fillId="18" borderId="10" xfId="0" applyFont="1" applyFill="1" applyBorder="1" applyAlignment="1">
      <alignment horizontal="center" vertical="center"/>
    </xf>
    <xf numFmtId="173" fontId="52" fillId="18" borderId="10" xfId="0" applyNumberFormat="1" applyFont="1" applyFill="1" applyBorder="1" applyAlignment="1">
      <alignment horizontal="center" vertical="center" wrapText="1"/>
    </xf>
    <xf numFmtId="172" fontId="51" fillId="15" borderId="10" xfId="0" applyNumberFormat="1" applyFont="1" applyFill="1" applyBorder="1" applyAlignment="1">
      <alignment horizontal="center" vertical="center" wrapText="1"/>
    </xf>
    <xf numFmtId="0" fontId="52" fillId="15" borderId="10" xfId="0" applyFont="1" applyFill="1" applyBorder="1" applyAlignment="1">
      <alignment horizontal="center" vertical="center" wrapText="1"/>
    </xf>
    <xf numFmtId="49" fontId="58" fillId="15" borderId="10" xfId="0" applyNumberFormat="1" applyFont="1" applyFill="1" applyBorder="1" applyAlignment="1">
      <alignment horizontal="center" vertical="center" wrapText="1"/>
    </xf>
    <xf numFmtId="0" fontId="58" fillId="15" borderId="10" xfId="0" applyFont="1" applyFill="1" applyBorder="1" applyAlignment="1">
      <alignment horizontal="center" vertical="center"/>
    </xf>
    <xf numFmtId="173" fontId="52" fillId="15" borderId="10" xfId="0" applyNumberFormat="1" applyFont="1" applyFill="1" applyBorder="1" applyAlignment="1">
      <alignment horizontal="center" vertical="center" wrapText="1"/>
    </xf>
    <xf numFmtId="172" fontId="51" fillId="0" borderId="10" xfId="0" applyNumberFormat="1" applyFont="1" applyBorder="1" applyAlignment="1">
      <alignment horizontal="center" vertical="center" wrapText="1"/>
    </xf>
    <xf numFmtId="0" fontId="52" fillId="0" borderId="10" xfId="0" applyFont="1" applyBorder="1" applyAlignment="1">
      <alignment horizontal="center" vertical="center" wrapText="1"/>
    </xf>
    <xf numFmtId="49" fontId="58" fillId="0" borderId="10" xfId="0" applyNumberFormat="1" applyFont="1" applyBorder="1" applyAlignment="1">
      <alignment horizontal="center" vertical="center" wrapText="1"/>
    </xf>
    <xf numFmtId="0" fontId="58" fillId="0" borderId="10" xfId="0" applyFont="1" applyBorder="1" applyAlignment="1">
      <alignment horizontal="center" vertical="center"/>
    </xf>
    <xf numFmtId="173" fontId="52" fillId="0" borderId="10" xfId="0" applyNumberFormat="1" applyFont="1" applyBorder="1" applyAlignment="1">
      <alignment horizontal="center" vertical="center" wrapText="1"/>
    </xf>
    <xf numFmtId="172" fontId="52" fillId="0" borderId="10" xfId="0" applyNumberFormat="1" applyFont="1" applyBorder="1" applyAlignment="1">
      <alignment horizontal="center" vertical="center" wrapText="1"/>
    </xf>
    <xf numFmtId="0" fontId="55" fillId="2" borderId="0" xfId="0" applyFont="1" applyFill="1">
      <alignment vertical="center"/>
    </xf>
    <xf numFmtId="0" fontId="61" fillId="0" borderId="0" xfId="0" applyFont="1">
      <alignment vertical="center"/>
    </xf>
    <xf numFmtId="0" fontId="62" fillId="0" borderId="0" xfId="0" applyFont="1">
      <alignment vertical="center"/>
    </xf>
    <xf numFmtId="49" fontId="43" fillId="2" borderId="10" xfId="0" applyNumberFormat="1" applyFont="1" applyFill="1" applyBorder="1" applyAlignment="1">
      <alignment horizontal="center" vertical="center" wrapText="1"/>
    </xf>
    <xf numFmtId="49" fontId="43" fillId="2" borderId="0" xfId="0" applyNumberFormat="1" applyFont="1" applyFill="1" applyAlignment="1">
      <alignment horizontal="right" vertical="center"/>
    </xf>
    <xf numFmtId="0" fontId="63" fillId="0" borderId="16" xfId="0" applyFont="1" applyBorder="1" applyAlignment="1">
      <alignment horizontal="center" vertical="center"/>
    </xf>
    <xf numFmtId="0" fontId="63" fillId="0" borderId="20" xfId="0" applyFont="1" applyBorder="1" applyAlignment="1">
      <alignment horizontal="center" vertical="center"/>
    </xf>
    <xf numFmtId="0" fontId="63" fillId="0" borderId="21" xfId="0" applyFont="1" applyBorder="1" applyAlignment="1">
      <alignment horizontal="center" vertical="center"/>
    </xf>
    <xf numFmtId="0" fontId="63" fillId="0" borderId="17" xfId="0" applyFont="1" applyBorder="1" applyAlignment="1">
      <alignment horizontal="center" vertical="center"/>
    </xf>
    <xf numFmtId="0" fontId="63" fillId="0" borderId="18" xfId="0" applyFont="1" applyBorder="1" applyAlignment="1">
      <alignment horizontal="center" vertical="center"/>
    </xf>
    <xf numFmtId="0" fontId="64" fillId="0" borderId="21" xfId="0" applyFont="1" applyBorder="1" applyAlignment="1">
      <alignment horizontal="center" vertical="center"/>
    </xf>
    <xf numFmtId="0" fontId="64" fillId="0" borderId="34" xfId="0" applyFont="1" applyBorder="1" applyAlignment="1">
      <alignment horizontal="center" vertical="center"/>
    </xf>
    <xf numFmtId="0" fontId="65" fillId="0" borderId="20" xfId="0" applyFont="1" applyBorder="1" applyAlignment="1">
      <alignment horizontal="center" vertical="center"/>
    </xf>
    <xf numFmtId="0" fontId="65" fillId="2" borderId="21" xfId="0" applyFont="1" applyFill="1" applyBorder="1" applyAlignment="1">
      <alignment horizontal="center" vertical="center"/>
    </xf>
    <xf numFmtId="0" fontId="65" fillId="0" borderId="21" xfId="0" applyFont="1" applyBorder="1" applyAlignment="1">
      <alignment horizontal="center" vertical="center"/>
    </xf>
    <xf numFmtId="0" fontId="66" fillId="0" borderId="21" xfId="0" applyFont="1" applyBorder="1" applyAlignment="1">
      <alignment horizontal="center" vertical="center"/>
    </xf>
    <xf numFmtId="0" fontId="65" fillId="0" borderId="21" xfId="0" applyFont="1" applyBorder="1" applyAlignment="1">
      <alignment horizontal="center" vertical="center" wrapText="1"/>
    </xf>
    <xf numFmtId="0" fontId="66" fillId="0" borderId="21" xfId="0" applyFont="1" applyBorder="1" applyAlignment="1">
      <alignment horizontal="center" vertical="center" wrapText="1"/>
    </xf>
    <xf numFmtId="0" fontId="64" fillId="0" borderId="20" xfId="0" applyFont="1" applyBorder="1" applyAlignment="1">
      <alignment horizontal="center" vertical="center"/>
    </xf>
    <xf numFmtId="0" fontId="64" fillId="0" borderId="16" xfId="0" applyFont="1" applyBorder="1" applyAlignment="1">
      <alignment horizontal="center" vertical="center"/>
    </xf>
    <xf numFmtId="0" fontId="63" fillId="0" borderId="22" xfId="0" applyFont="1" applyBorder="1" applyAlignment="1">
      <alignment horizontal="center" vertical="center"/>
    </xf>
    <xf numFmtId="10" fontId="65" fillId="0" borderId="20" xfId="0" applyNumberFormat="1" applyFont="1" applyBorder="1" applyAlignment="1">
      <alignment horizontal="center" vertical="center"/>
    </xf>
    <xf numFmtId="0" fontId="64" fillId="0" borderId="45" xfId="0" applyFont="1" applyBorder="1" applyAlignment="1">
      <alignment horizontal="center" vertical="center"/>
    </xf>
    <xf numFmtId="10" fontId="64" fillId="0" borderId="20" xfId="0" applyNumberFormat="1" applyFont="1" applyBorder="1" applyAlignment="1">
      <alignment horizontal="center" vertical="center"/>
    </xf>
    <xf numFmtId="10" fontId="65" fillId="0" borderId="21" xfId="0" applyNumberFormat="1" applyFont="1" applyBorder="1" applyAlignment="1">
      <alignment horizontal="center" vertical="center"/>
    </xf>
    <xf numFmtId="0" fontId="65" fillId="0" borderId="45" xfId="0" applyFont="1" applyBorder="1" applyAlignment="1">
      <alignment horizontal="center" vertical="center"/>
    </xf>
    <xf numFmtId="0" fontId="65" fillId="0" borderId="17" xfId="0" applyFont="1" applyBorder="1" applyAlignment="1">
      <alignment horizontal="center" vertical="center"/>
    </xf>
    <xf numFmtId="0" fontId="66" fillId="0" borderId="18" xfId="0" applyFont="1" applyBorder="1" applyAlignment="1">
      <alignment horizontal="center" vertical="center"/>
    </xf>
    <xf numFmtId="0" fontId="65" fillId="0" borderId="18" xfId="0" applyFont="1" applyBorder="1" applyAlignment="1">
      <alignment horizontal="center" vertical="center"/>
    </xf>
    <xf numFmtId="0" fontId="65" fillId="0" borderId="12" xfId="0" applyFont="1" applyBorder="1" applyAlignment="1">
      <alignment horizontal="center" vertical="center"/>
    </xf>
    <xf numFmtId="0" fontId="65" fillId="0" borderId="13" xfId="0" applyFont="1" applyBorder="1" applyAlignment="1">
      <alignment horizontal="center" vertical="center"/>
    </xf>
    <xf numFmtId="0" fontId="66" fillId="0" borderId="13" xfId="0" applyFont="1" applyBorder="1" applyAlignment="1">
      <alignment horizontal="center" vertical="center"/>
    </xf>
    <xf numFmtId="0" fontId="65" fillId="0" borderId="34" xfId="0" applyFont="1" applyBorder="1" applyAlignment="1">
      <alignment horizontal="center" vertical="center"/>
    </xf>
    <xf numFmtId="0" fontId="66" fillId="0" borderId="16" xfId="0" applyFont="1" applyBorder="1" applyAlignment="1">
      <alignment horizontal="center" vertical="center"/>
    </xf>
    <xf numFmtId="0" fontId="65" fillId="0" borderId="16" xfId="0" applyFont="1" applyBorder="1" applyAlignment="1">
      <alignment horizontal="center" vertical="center"/>
    </xf>
    <xf numFmtId="0" fontId="65" fillId="0" borderId="0" xfId="0" applyFont="1" applyAlignment="1">
      <alignment horizontal="center" vertical="center"/>
    </xf>
    <xf numFmtId="10" fontId="65" fillId="0" borderId="17" xfId="0" applyNumberFormat="1" applyFont="1" applyBorder="1" applyAlignment="1">
      <alignment horizontal="center" vertical="center"/>
    </xf>
    <xf numFmtId="0" fontId="65" fillId="0" borderId="46" xfId="0" applyFont="1" applyBorder="1" applyAlignment="1">
      <alignment horizontal="center" vertical="center"/>
    </xf>
    <xf numFmtId="10" fontId="65" fillId="0" borderId="12" xfId="0" applyNumberFormat="1" applyFont="1" applyBorder="1" applyAlignment="1">
      <alignment horizontal="center" vertical="center"/>
    </xf>
    <xf numFmtId="10" fontId="65" fillId="0" borderId="16" xfId="0" applyNumberFormat="1" applyFont="1" applyBorder="1" applyAlignment="1">
      <alignment horizontal="center" vertical="center"/>
    </xf>
    <xf numFmtId="0" fontId="64" fillId="0" borderId="12" xfId="0" applyFont="1" applyBorder="1" applyAlignment="1">
      <alignment horizontal="center" vertical="center"/>
    </xf>
    <xf numFmtId="0" fontId="63" fillId="0" borderId="21" xfId="0" applyFont="1" applyBorder="1" applyAlignment="1">
      <alignment horizontal="left" vertical="center"/>
    </xf>
    <xf numFmtId="0" fontId="66" fillId="0" borderId="21" xfId="0" applyFont="1" applyBorder="1" applyAlignment="1">
      <alignment horizontal="left" vertical="center"/>
    </xf>
    <xf numFmtId="0" fontId="66" fillId="0" borderId="45" xfId="0" applyFont="1" applyBorder="1" applyAlignment="1">
      <alignment horizontal="center" vertical="center" wrapText="1"/>
    </xf>
    <xf numFmtId="0" fontId="66" fillId="0" borderId="45" xfId="0" applyFont="1" applyBorder="1" applyAlignment="1">
      <alignment horizontal="center" vertical="center"/>
    </xf>
    <xf numFmtId="0" fontId="66" fillId="0" borderId="21" xfId="0" applyFont="1" applyBorder="1" applyAlignment="1">
      <alignment horizontal="left" vertical="center" wrapText="1"/>
    </xf>
    <xf numFmtId="0" fontId="65" fillId="0" borderId="21" xfId="0" applyFont="1" applyBorder="1" applyAlignment="1">
      <alignment horizontal="left" vertical="center"/>
    </xf>
    <xf numFmtId="0" fontId="65" fillId="0" borderId="21" xfId="0" applyFont="1" applyBorder="1" applyAlignment="1">
      <alignment horizontal="right"/>
    </xf>
    <xf numFmtId="0" fontId="64" fillId="0" borderId="18" xfId="0" applyFont="1" applyBorder="1" applyAlignment="1">
      <alignment horizontal="center" vertical="center"/>
    </xf>
    <xf numFmtId="0" fontId="64" fillId="0" borderId="18" xfId="0" applyFont="1" applyBorder="1" applyAlignment="1">
      <alignment horizontal="justify" vertical="center"/>
    </xf>
    <xf numFmtId="0" fontId="65" fillId="0" borderId="13" xfId="0" applyFont="1" applyBorder="1" applyAlignment="1">
      <alignment horizontal="justify" vertical="center"/>
    </xf>
    <xf numFmtId="0" fontId="64" fillId="0" borderId="21" xfId="0" applyFont="1" applyBorder="1" applyAlignment="1">
      <alignment horizontal="justify" vertical="center"/>
    </xf>
    <xf numFmtId="0" fontId="21" fillId="0" borderId="0" xfId="0" applyFont="1">
      <alignment vertical="center"/>
    </xf>
    <xf numFmtId="0" fontId="58" fillId="0" borderId="0" xfId="0" applyFont="1" applyAlignment="1">
      <alignment horizontal="center" vertical="center"/>
    </xf>
    <xf numFmtId="40" fontId="58" fillId="0" borderId="0" xfId="0" applyNumberFormat="1" applyFont="1" applyAlignment="1">
      <alignment horizontal="center" vertical="center"/>
    </xf>
    <xf numFmtId="40" fontId="58" fillId="0" borderId="0" xfId="0" applyNumberFormat="1" applyFont="1" applyAlignment="1">
      <alignment horizontal="right" vertical="center"/>
    </xf>
    <xf numFmtId="49" fontId="58" fillId="0" borderId="0" xfId="0" applyNumberFormat="1" applyFont="1" applyAlignment="1">
      <alignment horizontal="center" vertical="center"/>
    </xf>
    <xf numFmtId="0" fontId="58" fillId="0" borderId="11" xfId="0" applyFont="1" applyBorder="1" applyAlignment="1">
      <alignment vertical="center" wrapText="1"/>
    </xf>
    <xf numFmtId="0" fontId="58" fillId="0" borderId="2" xfId="0" applyFont="1" applyBorder="1" applyAlignment="1">
      <alignment horizontal="left" vertical="center"/>
    </xf>
    <xf numFmtId="0" fontId="58" fillId="0" borderId="47" xfId="0" applyFont="1" applyBorder="1" applyAlignment="1">
      <alignment horizontal="left" vertical="center"/>
    </xf>
    <xf numFmtId="40" fontId="58" fillId="0" borderId="0" xfId="0" applyNumberFormat="1" applyFont="1">
      <alignment vertical="center"/>
    </xf>
    <xf numFmtId="0" fontId="58" fillId="0" borderId="0" xfId="0" applyFont="1">
      <alignment vertical="center"/>
    </xf>
    <xf numFmtId="0" fontId="58" fillId="0" borderId="11" xfId="0" applyFont="1" applyBorder="1" applyAlignment="1">
      <alignment horizontal="center" vertical="center" wrapText="1"/>
    </xf>
    <xf numFmtId="14" fontId="58" fillId="0" borderId="2" xfId="0" applyNumberFormat="1" applyFont="1" applyBorder="1" applyAlignment="1">
      <alignment horizontal="center" vertical="center" wrapText="1"/>
    </xf>
    <xf numFmtId="0" fontId="58" fillId="0" borderId="30" xfId="0" applyFont="1" applyBorder="1" applyAlignment="1">
      <alignment horizontal="left" vertical="center"/>
    </xf>
    <xf numFmtId="40" fontId="58" fillId="0" borderId="3" xfId="0" applyNumberFormat="1" applyFont="1" applyBorder="1">
      <alignment vertical="center"/>
    </xf>
    <xf numFmtId="40" fontId="58" fillId="0" borderId="3" xfId="0" applyNumberFormat="1" applyFont="1" applyBorder="1" applyAlignment="1">
      <alignment horizontal="right" vertical="center"/>
    </xf>
    <xf numFmtId="0" fontId="58" fillId="0" borderId="3" xfId="0" applyFont="1" applyBorder="1">
      <alignment vertical="center"/>
    </xf>
    <xf numFmtId="40" fontId="59" fillId="2" borderId="10" xfId="0" applyNumberFormat="1" applyFont="1" applyFill="1" applyBorder="1" applyAlignment="1">
      <alignment horizontal="right" wrapText="1"/>
    </xf>
    <xf numFmtId="0" fontId="56" fillId="12" borderId="10" xfId="0" applyFont="1" applyFill="1" applyBorder="1" applyAlignment="1">
      <alignment horizontal="center" vertical="center" wrapText="1"/>
    </xf>
    <xf numFmtId="0" fontId="56" fillId="12" borderId="10" xfId="0" applyFont="1" applyFill="1" applyBorder="1" applyAlignment="1">
      <alignment horizontal="left" vertical="center"/>
    </xf>
    <xf numFmtId="0" fontId="58" fillId="12" borderId="10" xfId="0" applyFont="1" applyFill="1" applyBorder="1">
      <alignment vertical="center"/>
    </xf>
    <xf numFmtId="40" fontId="58" fillId="12" borderId="10" xfId="0" applyNumberFormat="1" applyFont="1" applyFill="1" applyBorder="1">
      <alignment vertical="center"/>
    </xf>
    <xf numFmtId="40" fontId="58" fillId="12" borderId="10" xfId="0" applyNumberFormat="1" applyFont="1" applyFill="1" applyBorder="1" applyAlignment="1">
      <alignment horizontal="right" vertical="center"/>
    </xf>
    <xf numFmtId="0" fontId="55" fillId="0" borderId="10" xfId="0" applyFont="1" applyBorder="1" applyAlignment="1">
      <alignment horizontal="left" vertical="center" wrapText="1"/>
    </xf>
    <xf numFmtId="40" fontId="55" fillId="0" borderId="10" xfId="0" applyNumberFormat="1" applyFont="1" applyBorder="1" applyAlignment="1">
      <alignment horizontal="right" vertical="center" wrapText="1"/>
    </xf>
    <xf numFmtId="40" fontId="55" fillId="0" borderId="10" xfId="0" applyNumberFormat="1" applyFont="1" applyBorder="1" applyAlignment="1">
      <alignment horizontal="right" vertical="center"/>
    </xf>
    <xf numFmtId="0" fontId="68" fillId="0" borderId="10" xfId="0" applyFont="1" applyBorder="1" applyAlignment="1">
      <alignment horizontal="center" vertical="center"/>
    </xf>
    <xf numFmtId="0" fontId="68" fillId="0" borderId="10" xfId="0" applyFont="1" applyBorder="1" applyAlignment="1">
      <alignment horizontal="left" vertical="center" wrapText="1"/>
    </xf>
    <xf numFmtId="40" fontId="68" fillId="0" borderId="10" xfId="0" applyNumberFormat="1" applyFont="1" applyBorder="1" applyAlignment="1">
      <alignment horizontal="right" vertical="center" wrapText="1"/>
    </xf>
    <xf numFmtId="40" fontId="68" fillId="0" borderId="10" xfId="0" applyNumberFormat="1" applyFont="1" applyBorder="1" applyAlignment="1">
      <alignment horizontal="right" vertical="center"/>
    </xf>
    <xf numFmtId="0" fontId="68" fillId="0" borderId="10" xfId="0" applyFont="1" applyBorder="1" applyAlignment="1">
      <alignment horizontal="right" vertical="center" wrapText="1"/>
    </xf>
    <xf numFmtId="0" fontId="68" fillId="0" borderId="32" xfId="0" applyFont="1" applyBorder="1" applyAlignment="1">
      <alignment horizontal="right" vertical="center" wrapText="1"/>
    </xf>
    <xf numFmtId="0" fontId="68" fillId="0" borderId="32" xfId="0" applyFont="1" applyBorder="1" applyAlignment="1">
      <alignment horizontal="left" vertical="center" wrapText="1"/>
    </xf>
    <xf numFmtId="40" fontId="68" fillId="0" borderId="37" xfId="0" applyNumberFormat="1" applyFont="1" applyBorder="1" applyAlignment="1">
      <alignment horizontal="right" vertical="center"/>
    </xf>
    <xf numFmtId="0" fontId="69" fillId="0" borderId="10" xfId="0" applyFont="1" applyBorder="1" applyAlignment="1">
      <alignment horizontal="left" vertical="center"/>
    </xf>
    <xf numFmtId="40" fontId="55" fillId="0" borderId="37" xfId="0" applyNumberFormat="1" applyFont="1" applyBorder="1" applyAlignment="1">
      <alignment horizontal="right" vertical="center"/>
    </xf>
    <xf numFmtId="0" fontId="70" fillId="0" borderId="10" xfId="0" applyFont="1" applyBorder="1" applyAlignment="1">
      <alignment horizontal="left" vertical="center" wrapText="1"/>
    </xf>
    <xf numFmtId="0" fontId="58" fillId="0" borderId="10" xfId="0" applyFont="1" applyBorder="1" applyAlignment="1">
      <alignment horizontal="center" vertical="center" wrapText="1"/>
    </xf>
    <xf numFmtId="49" fontId="55" fillId="0" borderId="10" xfId="0" applyNumberFormat="1" applyFont="1" applyBorder="1" applyAlignment="1">
      <alignment horizontal="center" vertical="center"/>
    </xf>
    <xf numFmtId="49" fontId="68" fillId="0" borderId="10" xfId="0" applyNumberFormat="1" applyFont="1" applyBorder="1" applyAlignment="1">
      <alignment horizontal="center" vertical="center"/>
    </xf>
    <xf numFmtId="0" fontId="70" fillId="0" borderId="10" xfId="0" applyFont="1" applyBorder="1" applyAlignment="1">
      <alignment horizontal="center" vertical="center"/>
    </xf>
    <xf numFmtId="49" fontId="70" fillId="0" borderId="10" xfId="0" applyNumberFormat="1" applyFont="1" applyBorder="1" applyAlignment="1">
      <alignment horizontal="center" vertical="center"/>
    </xf>
    <xf numFmtId="49" fontId="58" fillId="0" borderId="0" xfId="0" applyNumberFormat="1" applyFont="1">
      <alignment vertical="center"/>
    </xf>
    <xf numFmtId="49" fontId="58" fillId="0" borderId="3" xfId="0" applyNumberFormat="1" applyFont="1" applyBorder="1">
      <alignment vertical="center"/>
    </xf>
    <xf numFmtId="0" fontId="58" fillId="0" borderId="3" xfId="0" applyFont="1" applyBorder="1" applyAlignment="1">
      <alignment horizontal="center" vertical="center"/>
    </xf>
    <xf numFmtId="49" fontId="58" fillId="12" borderId="10" xfId="0" applyNumberFormat="1" applyFont="1" applyFill="1" applyBorder="1">
      <alignment vertical="center"/>
    </xf>
    <xf numFmtId="0" fontId="58" fillId="12" borderId="10" xfId="0" applyFont="1" applyFill="1" applyBorder="1" applyAlignment="1">
      <alignment horizontal="center" vertical="center"/>
    </xf>
    <xf numFmtId="0" fontId="68" fillId="0" borderId="10" xfId="0" applyFont="1" applyBorder="1" applyAlignment="1">
      <alignment horizontal="center" vertical="center" wrapText="1"/>
    </xf>
    <xf numFmtId="0" fontId="70" fillId="0" borderId="10" xfId="0" applyFont="1" applyBorder="1" applyAlignment="1">
      <alignment horizontal="center" vertical="center" wrapText="1"/>
    </xf>
    <xf numFmtId="0" fontId="58" fillId="0" borderId="10" xfId="0" applyFont="1" applyBorder="1" applyAlignment="1">
      <alignment horizontal="left" vertical="center" wrapText="1"/>
    </xf>
    <xf numFmtId="40" fontId="58" fillId="0" borderId="10" xfId="0" applyNumberFormat="1" applyFont="1" applyBorder="1" applyAlignment="1">
      <alignment horizontal="right" vertical="center" wrapText="1"/>
    </xf>
    <xf numFmtId="40" fontId="58" fillId="0" borderId="37" xfId="0" applyNumberFormat="1" applyFont="1" applyBorder="1" applyAlignment="1">
      <alignment horizontal="right" vertical="center"/>
    </xf>
    <xf numFmtId="40" fontId="58" fillId="0" borderId="10" xfId="0" applyNumberFormat="1" applyFont="1" applyBorder="1" applyAlignment="1">
      <alignment horizontal="right" vertical="center"/>
    </xf>
    <xf numFmtId="40" fontId="59" fillId="0" borderId="10" xfId="0" applyNumberFormat="1" applyFont="1" applyBorder="1" applyAlignment="1">
      <alignment horizontal="right" vertical="center"/>
    </xf>
    <xf numFmtId="40" fontId="56" fillId="0" borderId="10" xfId="0" applyNumberFormat="1" applyFont="1" applyBorder="1" applyAlignment="1">
      <alignment horizontal="right" vertical="center"/>
    </xf>
    <xf numFmtId="0" fontId="55" fillId="0" borderId="10" xfId="0" applyFont="1" applyBorder="1" applyAlignment="1">
      <alignment horizontal="center" vertical="center"/>
    </xf>
    <xf numFmtId="0" fontId="55" fillId="0" borderId="10" xfId="82" applyFont="1" applyBorder="1" applyAlignment="1">
      <alignment horizontal="left" vertical="center" wrapText="1"/>
    </xf>
    <xf numFmtId="0" fontId="71" fillId="0" borderId="10" xfId="82" applyFont="1" applyBorder="1" applyAlignment="1">
      <alignment horizontal="right" vertical="center" wrapText="1"/>
    </xf>
    <xf numFmtId="0" fontId="71" fillId="0" borderId="10" xfId="82" applyFont="1" applyBorder="1" applyAlignment="1">
      <alignment horizontal="left" vertical="center" wrapText="1"/>
    </xf>
    <xf numFmtId="40" fontId="71" fillId="0" borderId="10" xfId="0" applyNumberFormat="1" applyFont="1" applyBorder="1" applyAlignment="1">
      <alignment horizontal="right" vertical="center" wrapText="1"/>
    </xf>
    <xf numFmtId="40" fontId="71" fillId="0" borderId="10" xfId="0" applyNumberFormat="1" applyFont="1" applyBorder="1" applyAlignment="1">
      <alignment horizontal="right" vertical="center"/>
    </xf>
    <xf numFmtId="0" fontId="68" fillId="0" borderId="10" xfId="82" applyFont="1" applyBorder="1" applyAlignment="1">
      <alignment horizontal="right" vertical="center" wrapText="1"/>
    </xf>
    <xf numFmtId="0" fontId="68" fillId="0" borderId="10" xfId="82" applyFont="1" applyBorder="1" applyAlignment="1">
      <alignment horizontal="left" vertical="center" wrapText="1"/>
    </xf>
    <xf numFmtId="0" fontId="59" fillId="12" borderId="2" xfId="0" applyFont="1" applyFill="1" applyBorder="1">
      <alignment vertical="center"/>
    </xf>
    <xf numFmtId="40" fontId="58" fillId="12" borderId="2" xfId="0" applyNumberFormat="1" applyFont="1" applyFill="1" applyBorder="1">
      <alignment vertical="center"/>
    </xf>
    <xf numFmtId="40" fontId="58" fillId="12" borderId="2" xfId="0" applyNumberFormat="1" applyFont="1" applyFill="1" applyBorder="1" applyAlignment="1">
      <alignment horizontal="right" vertical="center"/>
    </xf>
    <xf numFmtId="0" fontId="58" fillId="12" borderId="2" xfId="0" applyFont="1" applyFill="1" applyBorder="1">
      <alignment vertical="center"/>
    </xf>
    <xf numFmtId="0" fontId="58" fillId="26" borderId="10" xfId="0" applyFont="1" applyFill="1" applyBorder="1" applyAlignment="1">
      <alignment horizontal="center" vertical="center"/>
    </xf>
    <xf numFmtId="0" fontId="58" fillId="26" borderId="10" xfId="0" applyFont="1" applyFill="1" applyBorder="1" applyAlignment="1">
      <alignment horizontal="left" vertical="center" wrapText="1"/>
    </xf>
    <xf numFmtId="40" fontId="58" fillId="26" borderId="10" xfId="0" applyNumberFormat="1" applyFont="1" applyFill="1" applyBorder="1" applyAlignment="1">
      <alignment horizontal="right" vertical="center" wrapText="1"/>
    </xf>
    <xf numFmtId="40" fontId="58" fillId="26" borderId="10" xfId="0" applyNumberFormat="1" applyFont="1" applyFill="1" applyBorder="1" applyAlignment="1">
      <alignment horizontal="right" vertical="center"/>
    </xf>
    <xf numFmtId="0" fontId="70" fillId="26" borderId="10" xfId="0" applyFont="1" applyFill="1" applyBorder="1" applyAlignment="1">
      <alignment horizontal="right" vertical="center"/>
    </xf>
    <xf numFmtId="0" fontId="68" fillId="26" borderId="10" xfId="0" applyFont="1" applyFill="1" applyBorder="1" applyAlignment="1">
      <alignment horizontal="right" vertical="center" wrapText="1"/>
    </xf>
    <xf numFmtId="0" fontId="68" fillId="26" borderId="10" xfId="0" applyFont="1" applyFill="1" applyBorder="1" applyAlignment="1">
      <alignment horizontal="left" vertical="center" wrapText="1"/>
    </xf>
    <xf numFmtId="40" fontId="68" fillId="26" borderId="10" xfId="0" applyNumberFormat="1" applyFont="1" applyFill="1" applyBorder="1" applyAlignment="1">
      <alignment horizontal="right" vertical="center" wrapText="1"/>
    </xf>
    <xf numFmtId="40" fontId="68" fillId="26" borderId="10" xfId="0" applyNumberFormat="1" applyFont="1" applyFill="1" applyBorder="1" applyAlignment="1">
      <alignment horizontal="right" vertical="center"/>
    </xf>
    <xf numFmtId="0" fontId="70" fillId="26" borderId="10" xfId="0" applyFont="1" applyFill="1" applyBorder="1" applyAlignment="1">
      <alignment horizontal="center" vertical="center"/>
    </xf>
    <xf numFmtId="0" fontId="68" fillId="26" borderId="10" xfId="0" applyFont="1" applyFill="1" applyBorder="1" applyAlignment="1">
      <alignment horizontal="right" vertical="center"/>
    </xf>
    <xf numFmtId="49" fontId="58" fillId="0" borderId="10" xfId="0" applyNumberFormat="1" applyFont="1" applyBorder="1" applyAlignment="1">
      <alignment horizontal="center" vertical="center"/>
    </xf>
    <xf numFmtId="0" fontId="58" fillId="26" borderId="10" xfId="0" applyFont="1" applyFill="1" applyBorder="1" applyAlignment="1">
      <alignment horizontal="center" vertical="center" wrapText="1"/>
    </xf>
    <xf numFmtId="49" fontId="58" fillId="26" borderId="10" xfId="0" applyNumberFormat="1" applyFont="1" applyFill="1" applyBorder="1" applyAlignment="1">
      <alignment horizontal="center" vertical="center"/>
    </xf>
    <xf numFmtId="49" fontId="70" fillId="26" borderId="10" xfId="0" applyNumberFormat="1" applyFont="1" applyFill="1" applyBorder="1" applyAlignment="1">
      <alignment horizontal="center" vertical="center"/>
    </xf>
    <xf numFmtId="172" fontId="55" fillId="0" borderId="10" xfId="0" applyNumberFormat="1" applyFont="1" applyBorder="1" applyAlignment="1">
      <alignment horizontal="center" vertical="center"/>
    </xf>
    <xf numFmtId="49" fontId="58" fillId="12" borderId="2" xfId="0" applyNumberFormat="1" applyFont="1" applyFill="1" applyBorder="1">
      <alignment vertical="center"/>
    </xf>
    <xf numFmtId="0" fontId="58" fillId="12" borderId="37" xfId="0" applyFont="1" applyFill="1" applyBorder="1">
      <alignment vertical="center"/>
    </xf>
    <xf numFmtId="0" fontId="68" fillId="27" borderId="10" xfId="0" applyFont="1" applyFill="1" applyBorder="1" applyAlignment="1">
      <alignment horizontal="right" vertical="center"/>
    </xf>
    <xf numFmtId="0" fontId="68" fillId="27" borderId="10" xfId="0" applyFont="1" applyFill="1" applyBorder="1" applyAlignment="1">
      <alignment horizontal="right" vertical="center" wrapText="1"/>
    </xf>
    <xf numFmtId="0" fontId="70" fillId="27" borderId="10" xfId="0" applyFont="1" applyFill="1" applyBorder="1" applyAlignment="1">
      <alignment horizontal="left" vertical="center" wrapText="1"/>
    </xf>
    <xf numFmtId="40" fontId="68" fillId="27" borderId="10" xfId="0" applyNumberFormat="1" applyFont="1" applyFill="1" applyBorder="1" applyAlignment="1">
      <alignment horizontal="right" vertical="center"/>
    </xf>
    <xf numFmtId="0" fontId="58" fillId="27" borderId="10" xfId="0" applyFont="1" applyFill="1" applyBorder="1" applyAlignment="1">
      <alignment horizontal="center" vertical="center"/>
    </xf>
    <xf numFmtId="0" fontId="71" fillId="0" borderId="10" xfId="0" applyFont="1" applyBorder="1" applyAlignment="1">
      <alignment horizontal="left" vertical="center" wrapText="1"/>
    </xf>
    <xf numFmtId="0" fontId="70" fillId="0" borderId="10" xfId="0" applyFont="1" applyBorder="1">
      <alignment vertical="center"/>
    </xf>
    <xf numFmtId="40" fontId="70" fillId="0" borderId="10" xfId="0" applyNumberFormat="1" applyFont="1" applyBorder="1" applyAlignment="1">
      <alignment horizontal="right" vertical="center"/>
    </xf>
    <xf numFmtId="0" fontId="68" fillId="0" borderId="32" xfId="0" applyFont="1" applyBorder="1" applyAlignment="1">
      <alignment horizontal="right" vertical="center"/>
    </xf>
    <xf numFmtId="0" fontId="58" fillId="27" borderId="10" xfId="0" applyFont="1" applyFill="1" applyBorder="1" applyAlignment="1">
      <alignment horizontal="center" vertical="center" wrapText="1"/>
    </xf>
    <xf numFmtId="49" fontId="58" fillId="27" borderId="10" xfId="0" applyNumberFormat="1" applyFont="1" applyFill="1" applyBorder="1" applyAlignment="1">
      <alignment horizontal="center" vertical="center"/>
    </xf>
    <xf numFmtId="0" fontId="59" fillId="12" borderId="10" xfId="0" applyFont="1" applyFill="1" applyBorder="1">
      <alignment vertical="center"/>
    </xf>
    <xf numFmtId="0" fontId="55" fillId="26" borderId="10" xfId="0" applyFont="1" applyFill="1" applyBorder="1" applyAlignment="1">
      <alignment horizontal="left" vertical="center" wrapText="1"/>
    </xf>
    <xf numFmtId="0" fontId="72" fillId="0" borderId="10" xfId="0" applyFont="1" applyBorder="1" applyAlignment="1">
      <alignment horizontal="left" vertical="center" wrapText="1"/>
    </xf>
    <xf numFmtId="40" fontId="59" fillId="12" borderId="10" xfId="0" applyNumberFormat="1" applyFont="1" applyFill="1" applyBorder="1" applyAlignment="1">
      <alignment horizontal="right" vertical="center"/>
    </xf>
    <xf numFmtId="0" fontId="58" fillId="0" borderId="0" xfId="0" applyFont="1" applyAlignment="1">
      <alignment horizontal="right" vertical="center"/>
    </xf>
    <xf numFmtId="40" fontId="59" fillId="0" borderId="0" xfId="0" applyNumberFormat="1" applyFont="1" applyAlignment="1">
      <alignment horizontal="right" vertical="center"/>
    </xf>
    <xf numFmtId="0" fontId="59" fillId="0" borderId="0" xfId="0" applyFont="1" applyAlignment="1">
      <alignment horizontal="right" vertical="center"/>
    </xf>
    <xf numFmtId="0" fontId="55" fillId="26" borderId="10" xfId="0" applyFont="1" applyFill="1" applyBorder="1" applyAlignment="1">
      <alignment horizontal="center" vertical="center"/>
    </xf>
    <xf numFmtId="0" fontId="55" fillId="12" borderId="10" xfId="0" applyFont="1" applyFill="1" applyBorder="1" applyAlignment="1">
      <alignment horizontal="center" vertical="center"/>
    </xf>
    <xf numFmtId="0" fontId="58" fillId="12" borderId="10" xfId="0" applyFont="1" applyFill="1" applyBorder="1" applyAlignment="1">
      <alignment horizontal="center" vertical="center" wrapText="1"/>
    </xf>
    <xf numFmtId="49" fontId="55" fillId="26" borderId="10" xfId="0" applyNumberFormat="1" applyFont="1" applyFill="1" applyBorder="1" applyAlignment="1">
      <alignment horizontal="center" vertical="center"/>
    </xf>
    <xf numFmtId="49" fontId="58" fillId="12" borderId="10" xfId="0" applyNumberFormat="1" applyFont="1" applyFill="1" applyBorder="1" applyAlignment="1">
      <alignment horizontal="center" vertical="center"/>
    </xf>
    <xf numFmtId="172" fontId="55" fillId="12" borderId="10" xfId="0" applyNumberFormat="1" applyFont="1" applyFill="1" applyBorder="1" applyAlignment="1">
      <alignment horizontal="center" vertical="center"/>
    </xf>
    <xf numFmtId="0" fontId="73" fillId="0" borderId="2" xfId="0" applyFont="1" applyBorder="1" applyAlignment="1">
      <alignment horizontal="center" vertical="center" wrapText="1"/>
    </xf>
    <xf numFmtId="40" fontId="59" fillId="2" borderId="10" xfId="0" applyNumberFormat="1" applyFont="1" applyFill="1" applyBorder="1" applyAlignment="1">
      <alignment horizontal="center" wrapText="1"/>
    </xf>
    <xf numFmtId="40" fontId="74" fillId="2" borderId="10" xfId="0" applyNumberFormat="1" applyFont="1" applyFill="1" applyBorder="1" applyAlignment="1">
      <alignment horizontal="right" wrapText="1"/>
    </xf>
    <xf numFmtId="40" fontId="74" fillId="2" borderId="10" xfId="0" applyNumberFormat="1" applyFont="1" applyFill="1" applyBorder="1" applyAlignment="1">
      <alignment horizontal="center" vertical="top" wrapText="1"/>
    </xf>
    <xf numFmtId="40" fontId="74" fillId="2" borderId="10" xfId="0" applyNumberFormat="1" applyFont="1" applyFill="1" applyBorder="1" applyAlignment="1">
      <alignment horizontal="right" vertical="top" wrapText="1"/>
    </xf>
    <xf numFmtId="0" fontId="75" fillId="12" borderId="10" xfId="0" applyFont="1" applyFill="1" applyBorder="1">
      <alignment vertical="center"/>
    </xf>
    <xf numFmtId="0" fontId="58" fillId="0" borderId="10" xfId="0" applyFont="1" applyBorder="1">
      <alignment vertical="center"/>
    </xf>
    <xf numFmtId="0" fontId="52" fillId="0" borderId="10" xfId="0" applyFont="1" applyBorder="1" applyAlignment="1">
      <alignment horizontal="left" vertical="center" wrapText="1"/>
    </xf>
    <xf numFmtId="0" fontId="68" fillId="0" borderId="10" xfId="0" applyFont="1" applyBorder="1" applyAlignment="1">
      <alignment horizontal="right" vertical="center"/>
    </xf>
    <xf numFmtId="0" fontId="68" fillId="0" borderId="10" xfId="0" applyFont="1" applyBorder="1">
      <alignment vertical="center"/>
    </xf>
    <xf numFmtId="0" fontId="76" fillId="0" borderId="10" xfId="0" applyFont="1" applyBorder="1" applyAlignment="1">
      <alignment horizontal="right" vertical="center" wrapText="1"/>
    </xf>
    <xf numFmtId="0" fontId="51" fillId="0" borderId="10" xfId="0" applyFont="1" applyBorder="1" applyAlignment="1">
      <alignment horizontal="center" vertical="center"/>
    </xf>
    <xf numFmtId="0" fontId="51" fillId="0" borderId="10" xfId="0" applyFont="1" applyBorder="1" applyAlignment="1">
      <alignment horizontal="center" vertical="center" wrapText="1"/>
    </xf>
    <xf numFmtId="0" fontId="51" fillId="0" borderId="10" xfId="0" applyFont="1" applyBorder="1" applyAlignment="1">
      <alignment horizontal="left" vertical="center" wrapText="1"/>
    </xf>
    <xf numFmtId="0" fontId="59" fillId="12" borderId="11" xfId="0" applyFont="1" applyFill="1" applyBorder="1" applyAlignment="1">
      <alignment horizontal="left" vertical="center"/>
    </xf>
    <xf numFmtId="0" fontId="52" fillId="0" borderId="10" xfId="82" applyFont="1" applyBorder="1" applyAlignment="1">
      <alignment horizontal="left" vertical="center" wrapText="1"/>
    </xf>
    <xf numFmtId="0" fontId="76" fillId="0" borderId="10" xfId="82" applyFont="1" applyBorder="1" applyAlignment="1">
      <alignment horizontal="right" vertical="center" wrapText="1"/>
    </xf>
    <xf numFmtId="0" fontId="59" fillId="12" borderId="11" xfId="0" applyFont="1" applyFill="1" applyBorder="1">
      <alignment vertical="center"/>
    </xf>
    <xf numFmtId="0" fontId="75" fillId="12" borderId="2" xfId="0" applyFont="1" applyFill="1" applyBorder="1">
      <alignment vertical="center"/>
    </xf>
    <xf numFmtId="0" fontId="58" fillId="27" borderId="10" xfId="0" applyFont="1" applyFill="1" applyBorder="1">
      <alignment vertical="center"/>
    </xf>
    <xf numFmtId="0" fontId="51" fillId="27" borderId="10" xfId="0" applyFont="1" applyFill="1" applyBorder="1" applyAlignment="1">
      <alignment horizontal="left" vertical="center" wrapText="1"/>
    </xf>
    <xf numFmtId="0" fontId="58" fillId="27" borderId="10" xfId="0" applyFont="1" applyFill="1" applyBorder="1" applyAlignment="1">
      <alignment horizontal="left" vertical="center" wrapText="1"/>
    </xf>
    <xf numFmtId="40" fontId="58" fillId="27" borderId="10" xfId="0" applyNumberFormat="1" applyFont="1" applyFill="1" applyBorder="1" applyAlignment="1">
      <alignment horizontal="right" vertical="center" wrapText="1"/>
    </xf>
    <xf numFmtId="40" fontId="58" fillId="27" borderId="10" xfId="0" applyNumberFormat="1" applyFont="1" applyFill="1" applyBorder="1" applyAlignment="1">
      <alignment horizontal="right" vertical="center"/>
    </xf>
    <xf numFmtId="0" fontId="70" fillId="27" borderId="10" xfId="0" applyFont="1" applyFill="1" applyBorder="1" applyAlignment="1">
      <alignment horizontal="right" vertical="center"/>
    </xf>
    <xf numFmtId="0" fontId="68" fillId="27" borderId="10" xfId="0" applyFont="1" applyFill="1" applyBorder="1" applyAlignment="1">
      <alignment horizontal="left" vertical="center" wrapText="1"/>
    </xf>
    <xf numFmtId="40" fontId="68" fillId="27" borderId="10" xfId="0" applyNumberFormat="1" applyFont="1" applyFill="1" applyBorder="1" applyAlignment="1">
      <alignment horizontal="right" vertical="center" wrapText="1"/>
    </xf>
    <xf numFmtId="0" fontId="70" fillId="27" borderId="10" xfId="0" applyFont="1" applyFill="1" applyBorder="1" applyAlignment="1">
      <alignment horizontal="center" vertical="center"/>
    </xf>
    <xf numFmtId="0" fontId="51" fillId="27" borderId="10" xfId="0" applyFont="1" applyFill="1" applyBorder="1" applyAlignment="1">
      <alignment horizontal="center" vertical="center"/>
    </xf>
    <xf numFmtId="49" fontId="70" fillId="27" borderId="10" xfId="0" applyNumberFormat="1" applyFont="1" applyFill="1" applyBorder="1" applyAlignment="1">
      <alignment horizontal="center" vertical="center"/>
    </xf>
    <xf numFmtId="0" fontId="55" fillId="27" borderId="10" xfId="0" applyFont="1" applyFill="1" applyBorder="1" applyAlignment="1">
      <alignment horizontal="left" vertical="center" wrapText="1"/>
    </xf>
    <xf numFmtId="0" fontId="52" fillId="27" borderId="10" xfId="0" applyFont="1" applyFill="1" applyBorder="1" applyAlignment="1">
      <alignment horizontal="left" vertical="center" wrapText="1"/>
    </xf>
    <xf numFmtId="0" fontId="75" fillId="0" borderId="0" xfId="0" applyFont="1" applyAlignment="1">
      <alignment horizontal="right" vertical="center"/>
    </xf>
    <xf numFmtId="49" fontId="55" fillId="27" borderId="10" xfId="0" applyNumberFormat="1" applyFont="1" applyFill="1" applyBorder="1" applyAlignment="1">
      <alignment horizontal="center" vertical="center"/>
    </xf>
    <xf numFmtId="0" fontId="77" fillId="0" borderId="0" xfId="0" applyFont="1">
      <alignment vertical="center"/>
    </xf>
    <xf numFmtId="0" fontId="78" fillId="0" borderId="0" xfId="0" applyFont="1">
      <alignment vertical="center"/>
    </xf>
    <xf numFmtId="0" fontId="78" fillId="0" borderId="0" xfId="0" applyFont="1" applyAlignment="1">
      <alignment horizontal="left" vertical="center"/>
    </xf>
    <xf numFmtId="172" fontId="78" fillId="0" borderId="0" xfId="0" applyNumberFormat="1" applyFont="1">
      <alignment vertical="center"/>
    </xf>
    <xf numFmtId="175" fontId="78" fillId="0" borderId="0" xfId="0" applyNumberFormat="1" applyFont="1">
      <alignment vertical="center"/>
    </xf>
    <xf numFmtId="0" fontId="78" fillId="0" borderId="0" xfId="0" applyFont="1" applyAlignment="1">
      <alignment horizontal="center" vertical="center"/>
    </xf>
    <xf numFmtId="0" fontId="79" fillId="0" borderId="0" xfId="0" applyFont="1" applyAlignment="1">
      <alignment horizontal="center" vertical="center"/>
    </xf>
    <xf numFmtId="0" fontId="80" fillId="0" borderId="0" xfId="0" applyFont="1" applyAlignment="1">
      <alignment horizontal="center" vertical="center"/>
    </xf>
    <xf numFmtId="0" fontId="80" fillId="0" borderId="47" xfId="0" applyFont="1" applyBorder="1" applyAlignment="1">
      <alignment horizontal="center" vertical="center"/>
    </xf>
    <xf numFmtId="172" fontId="38" fillId="2" borderId="10" xfId="0" applyNumberFormat="1" applyFont="1" applyFill="1" applyBorder="1" applyAlignment="1">
      <alignment horizontal="center" vertical="center" wrapText="1"/>
    </xf>
    <xf numFmtId="0" fontId="38" fillId="2" borderId="10" xfId="0" applyFont="1" applyFill="1" applyBorder="1" applyAlignment="1">
      <alignment horizontal="center" vertical="center" wrapText="1"/>
    </xf>
    <xf numFmtId="0" fontId="82" fillId="12" borderId="10" xfId="0" applyFont="1" applyFill="1" applyBorder="1" applyAlignment="1">
      <alignment horizontal="center" vertical="center" wrapText="1"/>
    </xf>
    <xf numFmtId="0" fontId="38" fillId="12" borderId="10" xfId="0" applyFont="1" applyFill="1" applyBorder="1" applyAlignment="1">
      <alignment horizontal="left" vertical="center" wrapText="1"/>
    </xf>
    <xf numFmtId="0" fontId="38" fillId="12" borderId="10" xfId="0" applyFont="1" applyFill="1" applyBorder="1" applyAlignment="1">
      <alignment horizontal="center" vertical="center" wrapText="1"/>
    </xf>
    <xf numFmtId="172" fontId="38" fillId="12" borderId="10" xfId="0" applyNumberFormat="1" applyFont="1" applyFill="1" applyBorder="1" applyAlignment="1">
      <alignment horizontal="center" vertical="center" wrapText="1"/>
    </xf>
    <xf numFmtId="0" fontId="78" fillId="0" borderId="10" xfId="0" applyFont="1" applyBorder="1" applyAlignment="1">
      <alignment horizontal="center" vertical="center" wrapText="1"/>
    </xf>
    <xf numFmtId="0" fontId="78" fillId="0" borderId="10" xfId="0" applyFont="1" applyBorder="1" applyAlignment="1" applyProtection="1">
      <alignment horizontal="left" vertical="center" wrapText="1"/>
      <protection locked="0"/>
    </xf>
    <xf numFmtId="172" fontId="78" fillId="0" borderId="10" xfId="0" applyNumberFormat="1" applyFont="1" applyBorder="1" applyAlignment="1">
      <alignment horizontal="center" vertical="center" wrapText="1"/>
    </xf>
    <xf numFmtId="169" fontId="78" fillId="0" borderId="10" xfId="0" applyNumberFormat="1" applyFont="1" applyBorder="1" applyAlignment="1">
      <alignment horizontal="right" vertical="center" wrapText="1"/>
    </xf>
    <xf numFmtId="10" fontId="78" fillId="0" borderId="10" xfId="0" applyNumberFormat="1" applyFont="1" applyBorder="1" applyAlignment="1">
      <alignment horizontal="center" vertical="center" wrapText="1"/>
    </xf>
    <xf numFmtId="0" fontId="39" fillId="0" borderId="10" xfId="0" applyFont="1" applyBorder="1" applyAlignment="1" applyProtection="1">
      <alignment horizontal="left" vertical="center" wrapText="1"/>
      <protection locked="0"/>
    </xf>
    <xf numFmtId="169" fontId="79" fillId="0" borderId="10" xfId="0" applyNumberFormat="1" applyFont="1" applyBorder="1" applyAlignment="1">
      <alignment horizontal="right" vertical="center" wrapText="1"/>
    </xf>
    <xf numFmtId="10" fontId="79" fillId="0" borderId="10" xfId="0" applyNumberFormat="1" applyFont="1" applyBorder="1" applyAlignment="1">
      <alignment horizontal="center" vertical="center" wrapText="1"/>
    </xf>
    <xf numFmtId="172" fontId="82" fillId="0" borderId="10" xfId="0" applyNumberFormat="1" applyFont="1" applyBorder="1" applyAlignment="1">
      <alignment horizontal="center" vertical="center" wrapText="1"/>
    </xf>
    <xf numFmtId="169" fontId="82" fillId="0" borderId="10" xfId="0" applyNumberFormat="1" applyFont="1" applyBorder="1" applyAlignment="1">
      <alignment horizontal="right" vertical="center" wrapText="1"/>
    </xf>
    <xf numFmtId="0" fontId="78" fillId="12" borderId="10" xfId="0" applyFont="1" applyFill="1" applyBorder="1" applyAlignment="1">
      <alignment horizontal="center" vertical="center" wrapText="1"/>
    </xf>
    <xf numFmtId="0" fontId="38" fillId="12" borderId="10" xfId="0" applyFont="1" applyFill="1" applyBorder="1" applyAlignment="1" applyProtection="1">
      <alignment horizontal="left" vertical="center" wrapText="1"/>
      <protection locked="0"/>
    </xf>
    <xf numFmtId="172" fontId="78" fillId="12" borderId="10" xfId="0" applyNumberFormat="1" applyFont="1" applyFill="1" applyBorder="1" applyAlignment="1">
      <alignment horizontal="center" vertical="center" wrapText="1"/>
    </xf>
    <xf numFmtId="169" fontId="79" fillId="12" borderId="10" xfId="0" applyNumberFormat="1" applyFont="1" applyFill="1" applyBorder="1" applyAlignment="1">
      <alignment horizontal="right" vertical="center" wrapText="1"/>
    </xf>
    <xf numFmtId="169" fontId="78" fillId="12" borderId="10" xfId="0" applyNumberFormat="1" applyFont="1" applyFill="1" applyBorder="1" applyAlignment="1">
      <alignment horizontal="right" vertical="center" wrapText="1"/>
    </xf>
    <xf numFmtId="10" fontId="79" fillId="12" borderId="10" xfId="0" applyNumberFormat="1" applyFont="1" applyFill="1" applyBorder="1" applyAlignment="1">
      <alignment horizontal="center" vertical="center" wrapText="1"/>
    </xf>
    <xf numFmtId="169" fontId="83" fillId="0" borderId="10" xfId="0" applyNumberFormat="1" applyFont="1" applyBorder="1" applyAlignment="1">
      <alignment horizontal="right" vertical="center" wrapText="1"/>
    </xf>
    <xf numFmtId="0" fontId="78" fillId="26" borderId="10" xfId="0" applyFont="1" applyFill="1" applyBorder="1" applyAlignment="1">
      <alignment horizontal="center" vertical="center" wrapText="1"/>
    </xf>
    <xf numFmtId="0" fontId="39" fillId="26" borderId="10" xfId="0" applyFont="1" applyFill="1" applyBorder="1" applyAlignment="1" applyProtection="1">
      <alignment horizontal="left" vertical="center" wrapText="1"/>
      <protection locked="0"/>
    </xf>
    <xf numFmtId="172" fontId="78" fillId="26" borderId="10" xfId="0" applyNumberFormat="1" applyFont="1" applyFill="1" applyBorder="1" applyAlignment="1">
      <alignment horizontal="center" vertical="center" wrapText="1"/>
    </xf>
    <xf numFmtId="169" fontId="79" fillId="26" borderId="10" xfId="0" applyNumberFormat="1" applyFont="1" applyFill="1" applyBorder="1" applyAlignment="1">
      <alignment horizontal="right" vertical="center" wrapText="1"/>
    </xf>
    <xf numFmtId="169" fontId="78" fillId="26" borderId="10" xfId="0" applyNumberFormat="1" applyFont="1" applyFill="1" applyBorder="1" applyAlignment="1">
      <alignment horizontal="right" vertical="center" wrapText="1"/>
    </xf>
    <xf numFmtId="10" fontId="78" fillId="26" borderId="10" xfId="0" applyNumberFormat="1" applyFont="1" applyFill="1" applyBorder="1" applyAlignment="1">
      <alignment horizontal="center" vertical="center" wrapText="1"/>
    </xf>
    <xf numFmtId="10" fontId="79" fillId="26" borderId="10" xfId="0" applyNumberFormat="1" applyFont="1" applyFill="1" applyBorder="1" applyAlignment="1">
      <alignment horizontal="center" vertical="center" wrapText="1"/>
    </xf>
    <xf numFmtId="0" fontId="78" fillId="0" borderId="10" xfId="0" applyFont="1" applyBorder="1" applyAlignment="1">
      <alignment horizontal="center" vertical="center"/>
    </xf>
    <xf numFmtId="0" fontId="78" fillId="0" borderId="10" xfId="0" applyFont="1" applyBorder="1" applyAlignment="1">
      <alignment horizontal="left" vertical="center"/>
    </xf>
    <xf numFmtId="169" fontId="82" fillId="0" borderId="10" xfId="0" applyNumberFormat="1" applyFont="1" applyBorder="1">
      <alignment vertical="center"/>
    </xf>
    <xf numFmtId="0" fontId="78" fillId="0" borderId="10" xfId="0" applyFont="1" applyBorder="1">
      <alignment vertical="center"/>
    </xf>
    <xf numFmtId="172" fontId="78" fillId="0" borderId="10" xfId="0" applyNumberFormat="1" applyFont="1" applyBorder="1">
      <alignment vertical="center"/>
    </xf>
    <xf numFmtId="172" fontId="82" fillId="12" borderId="10" xfId="0" applyNumberFormat="1" applyFont="1" applyFill="1" applyBorder="1" applyAlignment="1">
      <alignment horizontal="center" vertical="center" wrapText="1"/>
    </xf>
    <xf numFmtId="175" fontId="84" fillId="12" borderId="10" xfId="0" applyNumberFormat="1" applyFont="1" applyFill="1" applyBorder="1" applyAlignment="1">
      <alignment horizontal="center" vertical="center" wrapText="1"/>
    </xf>
    <xf numFmtId="10" fontId="39" fillId="0" borderId="10" xfId="0" applyNumberFormat="1" applyFont="1" applyBorder="1" applyAlignment="1">
      <alignment horizontal="center" vertical="center" wrapText="1"/>
    </xf>
    <xf numFmtId="0" fontId="39" fillId="0" borderId="10" xfId="0" applyFont="1" applyBorder="1" applyAlignment="1">
      <alignment horizontal="center" vertical="center" wrapText="1"/>
    </xf>
    <xf numFmtId="49" fontId="79" fillId="0" borderId="10" xfId="0" applyNumberFormat="1" applyFont="1" applyBorder="1" applyAlignment="1">
      <alignment horizontal="center" vertical="center" wrapText="1"/>
    </xf>
    <xf numFmtId="0" fontId="79" fillId="0" borderId="10" xfId="0" applyFont="1" applyBorder="1" applyAlignment="1">
      <alignment horizontal="center" vertical="center"/>
    </xf>
    <xf numFmtId="173" fontId="85" fillId="0" borderId="10" xfId="0" applyNumberFormat="1" applyFont="1" applyBorder="1" applyAlignment="1">
      <alignment horizontal="center" vertical="center" wrapText="1"/>
    </xf>
    <xf numFmtId="175" fontId="79" fillId="0" borderId="10" xfId="0" applyNumberFormat="1" applyFont="1" applyBorder="1" applyAlignment="1">
      <alignment horizontal="center" vertical="center" wrapText="1"/>
    </xf>
    <xf numFmtId="172" fontId="85" fillId="0" borderId="10" xfId="0" applyNumberFormat="1" applyFont="1" applyBorder="1" applyAlignment="1">
      <alignment horizontal="center" vertical="center" wrapText="1"/>
    </xf>
    <xf numFmtId="0" fontId="79" fillId="0" borderId="10" xfId="0" applyFont="1" applyBorder="1" applyAlignment="1">
      <alignment horizontal="center" vertical="center" wrapText="1"/>
    </xf>
    <xf numFmtId="0" fontId="85" fillId="0" borderId="10" xfId="0" applyFont="1" applyBorder="1" applyAlignment="1">
      <alignment horizontal="center" vertical="center" wrapText="1"/>
    </xf>
    <xf numFmtId="173" fontId="39" fillId="0" borderId="10" xfId="0" applyNumberFormat="1" applyFont="1" applyBorder="1" applyAlignment="1">
      <alignment horizontal="center" vertical="center" wrapText="1"/>
    </xf>
    <xf numFmtId="175" fontId="78" fillId="0" borderId="10" xfId="0" applyNumberFormat="1" applyFont="1" applyBorder="1" applyAlignment="1">
      <alignment horizontal="center" vertical="center" wrapText="1"/>
    </xf>
    <xf numFmtId="172" fontId="39" fillId="0" borderId="10" xfId="0" applyNumberFormat="1" applyFont="1" applyBorder="1" applyAlignment="1">
      <alignment horizontal="center" vertical="center" wrapText="1"/>
    </xf>
    <xf numFmtId="172" fontId="85" fillId="12" borderId="10" xfId="0" applyNumberFormat="1" applyFont="1" applyFill="1" applyBorder="1" applyAlignment="1">
      <alignment horizontal="center" vertical="center" wrapText="1"/>
    </xf>
    <xf numFmtId="0" fontId="79" fillId="12" borderId="10" xfId="0" applyFont="1" applyFill="1" applyBorder="1" applyAlignment="1">
      <alignment horizontal="center" vertical="center" wrapText="1"/>
    </xf>
    <xf numFmtId="0" fontId="85" fillId="12" borderId="10" xfId="0" applyFont="1" applyFill="1" applyBorder="1" applyAlignment="1">
      <alignment horizontal="center" vertical="center" wrapText="1"/>
    </xf>
    <xf numFmtId="49" fontId="79" fillId="12" borderId="10" xfId="0" applyNumberFormat="1" applyFont="1" applyFill="1" applyBorder="1" applyAlignment="1">
      <alignment horizontal="center" vertical="center" wrapText="1"/>
    </xf>
    <xf numFmtId="0" fontId="79" fillId="12" borderId="10" xfId="0" applyFont="1" applyFill="1" applyBorder="1" applyAlignment="1">
      <alignment horizontal="center" vertical="center"/>
    </xf>
    <xf numFmtId="173" fontId="39" fillId="12" borderId="10" xfId="0" applyNumberFormat="1" applyFont="1" applyFill="1" applyBorder="1" applyAlignment="1">
      <alignment horizontal="center" vertical="center" wrapText="1"/>
    </xf>
    <xf numFmtId="175" fontId="78" fillId="12" borderId="10" xfId="0" applyNumberFormat="1" applyFont="1" applyFill="1" applyBorder="1" applyAlignment="1">
      <alignment horizontal="center" vertical="center" wrapText="1"/>
    </xf>
    <xf numFmtId="172" fontId="85" fillId="26" borderId="10" xfId="0" applyNumberFormat="1" applyFont="1" applyFill="1" applyBorder="1" applyAlignment="1">
      <alignment horizontal="center" vertical="center" wrapText="1"/>
    </xf>
    <xf numFmtId="0" fontId="79" fillId="26" borderId="10" xfId="0" applyFont="1" applyFill="1" applyBorder="1" applyAlignment="1">
      <alignment horizontal="center" vertical="center" wrapText="1"/>
    </xf>
    <xf numFmtId="0" fontId="39" fillId="26" borderId="10" xfId="0" applyFont="1" applyFill="1" applyBorder="1" applyAlignment="1">
      <alignment horizontal="center" vertical="center" wrapText="1"/>
    </xf>
    <xf numFmtId="49" fontId="79" fillId="26" borderId="10" xfId="0" applyNumberFormat="1" applyFont="1" applyFill="1" applyBorder="1" applyAlignment="1">
      <alignment horizontal="center" vertical="center" wrapText="1"/>
    </xf>
    <xf numFmtId="0" fontId="79" fillId="26" borderId="10" xfId="0" applyFont="1" applyFill="1" applyBorder="1" applyAlignment="1">
      <alignment horizontal="center" vertical="center"/>
    </xf>
    <xf numFmtId="173" fontId="39" fillId="26" borderId="10" xfId="0" applyNumberFormat="1" applyFont="1" applyFill="1" applyBorder="1" applyAlignment="1">
      <alignment horizontal="center" vertical="center" wrapText="1"/>
    </xf>
    <xf numFmtId="175" fontId="78" fillId="26" borderId="10" xfId="0" applyNumberFormat="1" applyFont="1" applyFill="1" applyBorder="1" applyAlignment="1">
      <alignment horizontal="center" vertical="center" wrapText="1"/>
    </xf>
    <xf numFmtId="172" fontId="39" fillId="26" borderId="10" xfId="0" applyNumberFormat="1" applyFont="1" applyFill="1" applyBorder="1" applyAlignment="1">
      <alignment horizontal="center" vertical="center" wrapText="1"/>
    </xf>
    <xf numFmtId="0" fontId="82" fillId="2" borderId="10" xfId="0" applyFont="1" applyFill="1" applyBorder="1" applyAlignment="1">
      <alignment horizontal="center" vertical="center"/>
    </xf>
    <xf numFmtId="0" fontId="84" fillId="2" borderId="10" xfId="0" applyFont="1" applyFill="1" applyBorder="1" applyAlignment="1">
      <alignment horizontal="center" vertical="center"/>
    </xf>
    <xf numFmtId="0" fontId="83" fillId="2" borderId="10" xfId="0" applyFont="1" applyFill="1" applyBorder="1" applyAlignment="1">
      <alignment horizontal="center" vertical="center"/>
    </xf>
    <xf numFmtId="0" fontId="78" fillId="12" borderId="10" xfId="0" applyFont="1" applyFill="1" applyBorder="1" applyAlignment="1">
      <alignment horizontal="center" vertical="center"/>
    </xf>
    <xf numFmtId="0" fontId="80" fillId="12" borderId="10" xfId="0" applyFont="1" applyFill="1" applyBorder="1" applyAlignment="1">
      <alignment horizontal="center" vertical="center"/>
    </xf>
    <xf numFmtId="0" fontId="86" fillId="0" borderId="10" xfId="0" applyFont="1" applyBorder="1" applyAlignment="1">
      <alignment horizontal="center" vertical="center"/>
    </xf>
    <xf numFmtId="0" fontId="86" fillId="28" borderId="10" xfId="0" applyFont="1" applyFill="1" applyBorder="1" applyAlignment="1">
      <alignment horizontal="left" vertical="center"/>
    </xf>
    <xf numFmtId="0" fontId="87" fillId="28" borderId="10" xfId="0" applyFont="1" applyFill="1" applyBorder="1" applyAlignment="1">
      <alignment horizontal="center" vertical="center"/>
    </xf>
    <xf numFmtId="0" fontId="86" fillId="0" borderId="10" xfId="0" applyFont="1" applyBorder="1" applyAlignment="1">
      <alignment horizontal="left" vertical="center"/>
    </xf>
    <xf numFmtId="0" fontId="87" fillId="0" borderId="10" xfId="0" applyFont="1" applyBorder="1" applyAlignment="1">
      <alignment horizontal="center" vertical="center"/>
    </xf>
    <xf numFmtId="0" fontId="88" fillId="0" borderId="10" xfId="0" applyFont="1" applyBorder="1" applyAlignment="1">
      <alignment horizontal="center" vertical="center"/>
    </xf>
    <xf numFmtId="0" fontId="86" fillId="28" borderId="10" xfId="0" applyFont="1" applyFill="1" applyBorder="1" applyAlignment="1">
      <alignment horizontal="center" vertical="center"/>
    </xf>
    <xf numFmtId="0" fontId="89" fillId="0" borderId="10" xfId="0" applyFont="1" applyBorder="1" applyAlignment="1">
      <alignment horizontal="center" vertical="center"/>
    </xf>
    <xf numFmtId="0" fontId="80" fillId="28" borderId="10" xfId="0" applyFont="1" applyFill="1" applyBorder="1" applyAlignment="1">
      <alignment horizontal="center" vertical="center"/>
    </xf>
    <xf numFmtId="0" fontId="90" fillId="28" borderId="10" xfId="0" applyFont="1" applyFill="1" applyBorder="1" applyAlignment="1">
      <alignment horizontal="left" vertical="center"/>
    </xf>
    <xf numFmtId="0" fontId="84" fillId="26" borderId="10" xfId="0" applyFont="1" applyFill="1" applyBorder="1" applyAlignment="1">
      <alignment horizontal="left" vertical="center"/>
    </xf>
    <xf numFmtId="0" fontId="83" fillId="26" borderId="10" xfId="0" applyFont="1" applyFill="1" applyBorder="1" applyAlignment="1">
      <alignment horizontal="left" vertical="center"/>
    </xf>
    <xf numFmtId="0" fontId="87" fillId="26" borderId="10" xfId="0" applyFont="1" applyFill="1" applyBorder="1" applyAlignment="1">
      <alignment horizontal="center" vertical="center"/>
    </xf>
    <xf numFmtId="0" fontId="78" fillId="28" borderId="10" xfId="0" applyFont="1" applyFill="1" applyBorder="1" applyAlignment="1">
      <alignment horizontal="center" vertical="center"/>
    </xf>
    <xf numFmtId="0" fontId="83" fillId="28" borderId="10" xfId="0" applyFont="1" applyFill="1" applyBorder="1" applyAlignment="1">
      <alignment horizontal="center" vertical="center"/>
    </xf>
    <xf numFmtId="0" fontId="82" fillId="26" borderId="10" xfId="0" applyFont="1" applyFill="1" applyBorder="1" applyAlignment="1">
      <alignment horizontal="left" vertical="center"/>
    </xf>
    <xf numFmtId="0" fontId="80" fillId="0" borderId="10" xfId="0" applyFont="1" applyBorder="1" applyAlignment="1">
      <alignment horizontal="center" vertical="center"/>
    </xf>
    <xf numFmtId="0" fontId="26" fillId="28" borderId="10" xfId="0" applyFont="1" applyFill="1" applyBorder="1" applyAlignment="1">
      <alignment horizontal="left" vertical="center"/>
    </xf>
    <xf numFmtId="0" fontId="83" fillId="0" borderId="10" xfId="0" applyFont="1" applyBorder="1" applyAlignment="1">
      <alignment horizontal="center" vertical="center"/>
    </xf>
    <xf numFmtId="0" fontId="39" fillId="0" borderId="10" xfId="0" applyFont="1" applyBorder="1">
      <alignment vertical="center"/>
    </xf>
    <xf numFmtId="0" fontId="78" fillId="26" borderId="10" xfId="0" applyFont="1" applyFill="1" applyBorder="1" applyAlignment="1">
      <alignment horizontal="center" vertical="center"/>
    </xf>
    <xf numFmtId="0" fontId="83" fillId="26" borderId="10" xfId="0" applyFont="1" applyFill="1" applyBorder="1" applyAlignment="1">
      <alignment horizontal="center" vertical="center"/>
    </xf>
    <xf numFmtId="0" fontId="88" fillId="28" borderId="10" xfId="0" applyFont="1" applyFill="1" applyBorder="1" applyAlignment="1">
      <alignment horizontal="center" vertical="center"/>
    </xf>
    <xf numFmtId="0" fontId="26" fillId="28" borderId="10" xfId="0" applyFont="1" applyFill="1" applyBorder="1" applyAlignment="1">
      <alignment horizontal="center" vertical="center"/>
    </xf>
    <xf numFmtId="0" fontId="91" fillId="0" borderId="10" xfId="0" applyFont="1" applyBorder="1" applyAlignment="1">
      <alignment horizontal="center" vertical="center"/>
    </xf>
    <xf numFmtId="0" fontId="86" fillId="12" borderId="10" xfId="0" applyFont="1" applyFill="1" applyBorder="1" applyAlignment="1">
      <alignment horizontal="center" vertical="center"/>
    </xf>
    <xf numFmtId="0" fontId="88" fillId="12" borderId="10" xfId="0" applyFont="1" applyFill="1" applyBorder="1" applyAlignment="1">
      <alignment horizontal="center" vertical="center"/>
    </xf>
    <xf numFmtId="0" fontId="87" fillId="12" borderId="10" xfId="0" applyFont="1" applyFill="1" applyBorder="1" applyAlignment="1">
      <alignment horizontal="center" vertical="center"/>
    </xf>
    <xf numFmtId="0" fontId="80" fillId="26" borderId="10" xfId="0" applyFont="1" applyFill="1" applyBorder="1" applyAlignment="1">
      <alignment horizontal="center" vertical="center"/>
    </xf>
    <xf numFmtId="0" fontId="92" fillId="0" borderId="0" xfId="0" applyFont="1" applyAlignment="1">
      <alignment horizontal="center" vertical="center"/>
    </xf>
    <xf numFmtId="0" fontId="92" fillId="0" borderId="0" xfId="0" applyFont="1">
      <alignment vertical="center"/>
    </xf>
    <xf numFmtId="0" fontId="80" fillId="0" borderId="0" xfId="0" applyFont="1">
      <alignment vertical="center"/>
    </xf>
    <xf numFmtId="0" fontId="89" fillId="0" borderId="0" xfId="0" applyFont="1" applyAlignment="1">
      <alignment horizontal="center" vertical="center"/>
    </xf>
    <xf numFmtId="0" fontId="91" fillId="0" borderId="0" xfId="0" applyFont="1" applyAlignment="1">
      <alignment horizontal="center" vertical="center"/>
    </xf>
    <xf numFmtId="0" fontId="88" fillId="0" borderId="0" xfId="0" applyFont="1" applyAlignment="1">
      <alignment horizontal="center" vertical="center"/>
    </xf>
    <xf numFmtId="0" fontId="55" fillId="27" borderId="10" xfId="0" applyFont="1" applyFill="1" applyBorder="1" applyAlignment="1">
      <alignment horizontal="center" vertical="center"/>
    </xf>
    <xf numFmtId="0" fontId="59" fillId="12" borderId="10" xfId="0" applyFont="1" applyFill="1" applyBorder="1" applyAlignment="1">
      <alignment horizontal="center" vertical="center" wrapText="1"/>
    </xf>
    <xf numFmtId="0" fontId="59" fillId="12" borderId="10" xfId="0" applyFont="1" applyFill="1" applyBorder="1" applyAlignment="1">
      <alignment horizontal="left" vertical="center"/>
    </xf>
    <xf numFmtId="0" fontId="58" fillId="0" borderId="10" xfId="0" applyFont="1" applyBorder="1" applyAlignment="1" applyProtection="1">
      <alignment horizontal="left" vertical="center" wrapText="1"/>
      <protection locked="0"/>
    </xf>
    <xf numFmtId="9" fontId="58" fillId="0" borderId="10" xfId="0" applyNumberFormat="1" applyFont="1" applyBorder="1" applyAlignment="1">
      <alignment horizontal="right" vertical="center"/>
    </xf>
    <xf numFmtId="0" fontId="93" fillId="0" borderId="10" xfId="0" applyFont="1" applyBorder="1" applyAlignment="1">
      <alignment horizontal="center" vertical="center"/>
    </xf>
    <xf numFmtId="0" fontId="93" fillId="0" borderId="10" xfId="0" applyFont="1" applyBorder="1" applyAlignment="1">
      <alignment horizontal="left" vertical="center" wrapText="1"/>
    </xf>
    <xf numFmtId="40" fontId="93" fillId="0" borderId="10" xfId="0" applyNumberFormat="1" applyFont="1" applyBorder="1" applyAlignment="1">
      <alignment horizontal="right" vertical="center" wrapText="1"/>
    </xf>
    <xf numFmtId="40" fontId="93" fillId="0" borderId="10" xfId="0" applyNumberFormat="1" applyFont="1" applyBorder="1" applyAlignment="1">
      <alignment horizontal="right" vertical="center"/>
    </xf>
    <xf numFmtId="0" fontId="93" fillId="0" borderId="10" xfId="0" applyFont="1" applyBorder="1" applyAlignment="1">
      <alignment horizontal="right" vertical="center" wrapText="1"/>
    </xf>
    <xf numFmtId="0" fontId="93" fillId="0" borderId="32" xfId="0" applyFont="1" applyBorder="1" applyAlignment="1">
      <alignment horizontal="right" vertical="center" wrapText="1"/>
    </xf>
    <xf numFmtId="0" fontId="93" fillId="0" borderId="32" xfId="0" applyFont="1" applyBorder="1" applyAlignment="1">
      <alignment horizontal="left" vertical="center" wrapText="1"/>
    </xf>
    <xf numFmtId="40" fontId="93" fillId="0" borderId="37" xfId="0" applyNumberFormat="1" applyFont="1" applyBorder="1" applyAlignment="1">
      <alignment horizontal="right" vertical="center"/>
    </xf>
    <xf numFmtId="0" fontId="94" fillId="0" borderId="10" xfId="0" applyFont="1" applyBorder="1" applyAlignment="1">
      <alignment horizontal="left" vertical="center"/>
    </xf>
    <xf numFmtId="49" fontId="93" fillId="0" borderId="10" xfId="0" applyNumberFormat="1" applyFont="1" applyBorder="1" applyAlignment="1">
      <alignment horizontal="center" vertical="center"/>
    </xf>
    <xf numFmtId="0" fontId="93" fillId="0" borderId="10" xfId="0" applyFont="1" applyBorder="1" applyAlignment="1">
      <alignment horizontal="center" vertical="center" wrapText="1"/>
    </xf>
    <xf numFmtId="9" fontId="59" fillId="0" borderId="10" xfId="0" applyNumberFormat="1" applyFont="1" applyBorder="1" applyAlignment="1">
      <alignment horizontal="right" vertical="center"/>
    </xf>
    <xf numFmtId="0" fontId="58" fillId="0" borderId="10" xfId="82" applyFont="1" applyBorder="1" applyAlignment="1">
      <alignment horizontal="left" vertical="center" wrapText="1"/>
    </xf>
    <xf numFmtId="0" fontId="95" fillId="0" borderId="10" xfId="82" applyFont="1" applyBorder="1" applyAlignment="1">
      <alignment horizontal="right" vertical="center" wrapText="1"/>
    </xf>
    <xf numFmtId="0" fontId="95" fillId="0" borderId="10" xfId="82" applyFont="1" applyBorder="1" applyAlignment="1">
      <alignment horizontal="left" vertical="center" wrapText="1"/>
    </xf>
    <xf numFmtId="40" fontId="95" fillId="0" borderId="10" xfId="0" applyNumberFormat="1" applyFont="1" applyBorder="1" applyAlignment="1">
      <alignment horizontal="right" vertical="center" wrapText="1"/>
    </xf>
    <xf numFmtId="40" fontId="95" fillId="0" borderId="10" xfId="0" applyNumberFormat="1" applyFont="1" applyBorder="1" applyAlignment="1">
      <alignment horizontal="right" vertical="center"/>
    </xf>
    <xf numFmtId="0" fontId="93" fillId="0" borderId="10" xfId="82" applyFont="1" applyBorder="1" applyAlignment="1">
      <alignment horizontal="right" vertical="center" wrapText="1"/>
    </xf>
    <xf numFmtId="0" fontId="93" fillId="0" borderId="10" xfId="82" applyFont="1" applyBorder="1" applyAlignment="1">
      <alignment horizontal="left" vertical="center" wrapText="1"/>
    </xf>
    <xf numFmtId="9" fontId="58" fillId="29" borderId="10" xfId="0" applyNumberFormat="1" applyFont="1" applyFill="1" applyBorder="1" applyAlignment="1">
      <alignment horizontal="right" vertical="center"/>
    </xf>
    <xf numFmtId="0" fontId="58" fillId="27" borderId="10" xfId="0" applyFont="1" applyFill="1" applyBorder="1" applyAlignment="1">
      <alignment horizontal="right" vertical="center"/>
    </xf>
    <xf numFmtId="0" fontId="93" fillId="27" borderId="10" xfId="0" applyFont="1" applyFill="1" applyBorder="1" applyAlignment="1">
      <alignment horizontal="right" vertical="center" wrapText="1"/>
    </xf>
    <xf numFmtId="0" fontId="93" fillId="27" borderId="10" xfId="0" applyFont="1" applyFill="1" applyBorder="1" applyAlignment="1">
      <alignment horizontal="left" vertical="center" wrapText="1"/>
    </xf>
    <xf numFmtId="40" fontId="93" fillId="27" borderId="10" xfId="0" applyNumberFormat="1" applyFont="1" applyFill="1" applyBorder="1" applyAlignment="1">
      <alignment horizontal="right" vertical="center" wrapText="1"/>
    </xf>
    <xf numFmtId="40" fontId="93" fillId="27" borderId="10" xfId="0" applyNumberFormat="1" applyFont="1" applyFill="1" applyBorder="1" applyAlignment="1">
      <alignment horizontal="right" vertical="center"/>
    </xf>
    <xf numFmtId="0" fontId="93" fillId="27" borderId="10" xfId="0" applyFont="1" applyFill="1" applyBorder="1" applyAlignment="1">
      <alignment horizontal="right" vertical="center"/>
    </xf>
    <xf numFmtId="172" fontId="58" fillId="0" borderId="10" xfId="0" applyNumberFormat="1" applyFont="1" applyBorder="1" applyAlignment="1">
      <alignment horizontal="center" vertical="center"/>
    </xf>
    <xf numFmtId="0" fontId="95" fillId="0" borderId="10" xfId="0" applyFont="1" applyBorder="1" applyAlignment="1">
      <alignment horizontal="left" vertical="center" wrapText="1"/>
    </xf>
    <xf numFmtId="0" fontId="93" fillId="0" borderId="32" xfId="0" applyFont="1" applyBorder="1" applyAlignment="1">
      <alignment horizontal="right" vertical="center"/>
    </xf>
    <xf numFmtId="0" fontId="58" fillId="0" borderId="37" xfId="0" applyFont="1" applyBorder="1" applyAlignment="1">
      <alignment horizontal="left" vertical="center" wrapText="1"/>
    </xf>
    <xf numFmtId="9" fontId="59" fillId="12" borderId="10" xfId="0" applyNumberFormat="1" applyFont="1" applyFill="1" applyBorder="1" applyAlignment="1">
      <alignment horizontal="right" vertical="center"/>
    </xf>
    <xf numFmtId="0" fontId="58" fillId="29" borderId="10" xfId="0" applyFont="1" applyFill="1" applyBorder="1" applyAlignment="1">
      <alignment horizontal="center" vertical="center"/>
    </xf>
    <xf numFmtId="0" fontId="58" fillId="29" borderId="10" xfId="0" applyFont="1" applyFill="1" applyBorder="1" applyAlignment="1">
      <alignment horizontal="center" vertical="center" wrapText="1"/>
    </xf>
    <xf numFmtId="172" fontId="58" fillId="12" borderId="10" xfId="0" applyNumberFormat="1" applyFont="1" applyFill="1" applyBorder="1" applyAlignment="1">
      <alignment horizontal="center" vertical="center"/>
    </xf>
    <xf numFmtId="0" fontId="96" fillId="0" borderId="0" xfId="0" applyFont="1">
      <alignment vertical="center"/>
    </xf>
    <xf numFmtId="40" fontId="74" fillId="2" borderId="11" xfId="0" applyNumberFormat="1" applyFont="1" applyFill="1" applyBorder="1" applyAlignment="1">
      <alignment horizontal="right" vertical="center" wrapText="1"/>
    </xf>
    <xf numFmtId="0" fontId="93" fillId="0" borderId="10" xfId="0" applyFont="1" applyBorder="1" applyAlignment="1">
      <alignment horizontal="right" vertical="center"/>
    </xf>
    <xf numFmtId="0" fontId="93" fillId="0" borderId="10" xfId="0" applyFont="1" applyBorder="1">
      <alignment vertical="center"/>
    </xf>
    <xf numFmtId="0" fontId="98" fillId="0" borderId="10" xfId="0" applyFont="1" applyBorder="1" applyAlignment="1">
      <alignment horizontal="right" vertical="center" wrapText="1"/>
    </xf>
    <xf numFmtId="0" fontId="51" fillId="0" borderId="10" xfId="82" applyFont="1" applyBorder="1" applyAlignment="1">
      <alignment horizontal="left" vertical="center" wrapText="1"/>
    </xf>
    <xf numFmtId="0" fontId="98" fillId="0" borderId="10" xfId="82" applyFont="1" applyBorder="1" applyAlignment="1">
      <alignment horizontal="right" vertical="center" wrapText="1"/>
    </xf>
    <xf numFmtId="9" fontId="58" fillId="27" borderId="10" xfId="0" applyNumberFormat="1" applyFont="1" applyFill="1" applyBorder="1" applyAlignment="1">
      <alignment horizontal="right" vertical="center"/>
    </xf>
    <xf numFmtId="9" fontId="93" fillId="27" borderId="10" xfId="0" applyNumberFormat="1" applyFont="1" applyFill="1" applyBorder="1" applyAlignment="1">
      <alignment horizontal="right" vertical="center"/>
    </xf>
    <xf numFmtId="0" fontId="99" fillId="27" borderId="10" xfId="0" applyFont="1" applyFill="1" applyBorder="1" applyAlignment="1">
      <alignment horizontal="center" vertical="center" wrapText="1"/>
    </xf>
    <xf numFmtId="9" fontId="58" fillId="12" borderId="10" xfId="0" applyNumberFormat="1" applyFont="1" applyFill="1" applyBorder="1">
      <alignment vertical="center"/>
    </xf>
    <xf numFmtId="0" fontId="51" fillId="0" borderId="11" xfId="0" applyFont="1" applyBorder="1" applyAlignment="1">
      <alignment horizontal="left" vertical="center" wrapText="1"/>
    </xf>
    <xf numFmtId="0" fontId="51" fillId="0" borderId="37" xfId="0" applyFont="1" applyBorder="1" applyAlignment="1">
      <alignment horizontal="left" vertical="center" wrapText="1"/>
    </xf>
    <xf numFmtId="0" fontId="100" fillId="0" borderId="0" xfId="0" applyFont="1" applyAlignment="1">
      <alignment vertical="center" wrapText="1"/>
    </xf>
    <xf numFmtId="0" fontId="36" fillId="0" borderId="0" xfId="0" applyFont="1" applyAlignment="1">
      <alignment vertical="center" wrapText="1"/>
    </xf>
    <xf numFmtId="0" fontId="100" fillId="0" borderId="0" xfId="0" applyFont="1" applyAlignment="1">
      <alignment horizontal="center" vertical="center"/>
    </xf>
    <xf numFmtId="0" fontId="36" fillId="0" borderId="0" xfId="0" applyFont="1" applyAlignment="1">
      <alignment horizontal="center" vertical="center" wrapText="1"/>
    </xf>
    <xf numFmtId="172" fontId="36" fillId="0" borderId="0" xfId="0" applyNumberFormat="1" applyFont="1" applyAlignment="1">
      <alignment horizontal="center" vertical="center" wrapText="1"/>
    </xf>
    <xf numFmtId="10" fontId="36" fillId="0" borderId="0" xfId="0" applyNumberFormat="1" applyFont="1" applyAlignment="1">
      <alignment horizontal="center" vertical="center" wrapText="1"/>
    </xf>
    <xf numFmtId="49" fontId="36" fillId="0" borderId="0" xfId="0" applyNumberFormat="1" applyFont="1" applyAlignment="1">
      <alignment horizontal="center" vertical="center" wrapText="1"/>
    </xf>
    <xf numFmtId="0" fontId="100" fillId="0" borderId="0" xfId="0" applyFont="1" applyAlignment="1">
      <alignment horizontal="center" vertical="center" wrapText="1"/>
    </xf>
    <xf numFmtId="0" fontId="36" fillId="0" borderId="11" xfId="0" applyFont="1" applyBorder="1" applyAlignment="1">
      <alignment vertical="center" wrapText="1"/>
    </xf>
    <xf numFmtId="0" fontId="36" fillId="0" borderId="2" xfId="0" applyFont="1" applyBorder="1" applyAlignment="1">
      <alignment horizontal="center" vertical="center" wrapText="1"/>
    </xf>
    <xf numFmtId="0" fontId="36" fillId="0" borderId="47" xfId="0" applyFont="1" applyBorder="1" applyAlignment="1">
      <alignment horizontal="center" vertical="center" wrapText="1"/>
    </xf>
    <xf numFmtId="172" fontId="36" fillId="0" borderId="0" xfId="0" applyNumberFormat="1" applyFont="1" applyAlignment="1">
      <alignment vertical="center" wrapText="1"/>
    </xf>
    <xf numFmtId="172" fontId="36" fillId="0" borderId="0" xfId="0" applyNumberFormat="1" applyFont="1" applyAlignment="1">
      <alignment horizontal="right" vertical="center" wrapText="1"/>
    </xf>
    <xf numFmtId="10" fontId="36" fillId="0" borderId="0" xfId="0" applyNumberFormat="1" applyFont="1" applyAlignment="1">
      <alignment vertical="center" wrapText="1"/>
    </xf>
    <xf numFmtId="40" fontId="36" fillId="0" borderId="0" xfId="0" applyNumberFormat="1" applyFont="1" applyAlignment="1">
      <alignment vertical="center" wrapText="1"/>
    </xf>
    <xf numFmtId="0" fontId="36" fillId="0" borderId="11" xfId="0" applyFont="1" applyBorder="1" applyAlignment="1">
      <alignment horizontal="center" vertical="center" wrapText="1"/>
    </xf>
    <xf numFmtId="14" fontId="36" fillId="0" borderId="2" xfId="0" applyNumberFormat="1" applyFont="1" applyBorder="1" applyAlignment="1">
      <alignment horizontal="center" vertical="center" wrapText="1"/>
    </xf>
    <xf numFmtId="0" fontId="36" fillId="0" borderId="30" xfId="0" applyFont="1" applyBorder="1" applyAlignment="1">
      <alignment horizontal="center" vertical="center" wrapText="1"/>
    </xf>
    <xf numFmtId="172" fontId="36" fillId="0" borderId="3" xfId="0" applyNumberFormat="1" applyFont="1" applyBorder="1" applyAlignment="1">
      <alignment vertical="center" wrapText="1"/>
    </xf>
    <xf numFmtId="172" fontId="36" fillId="0" borderId="3" xfId="0" applyNumberFormat="1" applyFont="1" applyBorder="1" applyAlignment="1">
      <alignment horizontal="right" vertical="center" wrapText="1"/>
    </xf>
    <xf numFmtId="10" fontId="36" fillId="0" borderId="3" xfId="0" applyNumberFormat="1" applyFont="1" applyBorder="1" applyAlignment="1">
      <alignment vertical="center" wrapText="1"/>
    </xf>
    <xf numFmtId="40" fontId="36" fillId="0" borderId="3" xfId="0" applyNumberFormat="1" applyFont="1" applyBorder="1" applyAlignment="1">
      <alignment vertical="center" wrapText="1"/>
    </xf>
    <xf numFmtId="0" fontId="36" fillId="0" borderId="3" xfId="0" applyFont="1" applyBorder="1" applyAlignment="1">
      <alignment vertical="center" wrapText="1"/>
    </xf>
    <xf numFmtId="10" fontId="102" fillId="2" borderId="10" xfId="0" applyNumberFormat="1" applyFont="1" applyFill="1" applyBorder="1" applyAlignment="1">
      <alignment vertical="center" wrapText="1"/>
    </xf>
    <xf numFmtId="172" fontId="102" fillId="2" borderId="10" xfId="0" applyNumberFormat="1" applyFont="1" applyFill="1" applyBorder="1" applyAlignment="1">
      <alignment horizontal="center" vertical="center" wrapText="1"/>
    </xf>
    <xf numFmtId="10" fontId="102" fillId="2" borderId="10" xfId="0" applyNumberFormat="1" applyFont="1" applyFill="1" applyBorder="1" applyAlignment="1">
      <alignment horizontal="center" vertical="center" wrapText="1"/>
    </xf>
    <xf numFmtId="0" fontId="102" fillId="12" borderId="10" xfId="0" applyFont="1" applyFill="1" applyBorder="1" applyAlignment="1">
      <alignment horizontal="center" vertical="center" wrapText="1"/>
    </xf>
    <xf numFmtId="0" fontId="103" fillId="12" borderId="10" xfId="0" applyFont="1" applyFill="1" applyBorder="1" applyAlignment="1">
      <alignment horizontal="center" vertical="center" wrapText="1"/>
    </xf>
    <xf numFmtId="172" fontId="103" fillId="12" borderId="10" xfId="0" applyNumberFormat="1" applyFont="1" applyFill="1" applyBorder="1" applyAlignment="1">
      <alignment vertical="center" wrapText="1"/>
    </xf>
    <xf numFmtId="172" fontId="103" fillId="12" borderId="10" xfId="0" applyNumberFormat="1" applyFont="1" applyFill="1" applyBorder="1" applyAlignment="1">
      <alignment horizontal="right" vertical="center" wrapText="1"/>
    </xf>
    <xf numFmtId="10" fontId="103" fillId="12" borderId="10" xfId="0" applyNumberFormat="1" applyFont="1" applyFill="1" applyBorder="1" applyAlignment="1">
      <alignment vertical="center" wrapText="1"/>
    </xf>
    <xf numFmtId="40" fontId="103" fillId="12" borderId="10" xfId="0" applyNumberFormat="1" applyFont="1" applyFill="1" applyBorder="1" applyAlignment="1">
      <alignment vertical="center" wrapText="1"/>
    </xf>
    <xf numFmtId="0" fontId="103" fillId="12" borderId="10" xfId="0" applyFont="1" applyFill="1" applyBorder="1" applyAlignment="1">
      <alignment vertical="center" wrapText="1"/>
    </xf>
    <xf numFmtId="0" fontId="104" fillId="0" borderId="10" xfId="0" applyFont="1" applyBorder="1" applyAlignment="1">
      <alignment horizontal="center" vertical="center"/>
    </xf>
    <xf numFmtId="0" fontId="103" fillId="0" borderId="10" xfId="0" applyFont="1" applyBorder="1" applyAlignment="1">
      <alignment horizontal="center" vertical="center" wrapText="1"/>
    </xf>
    <xf numFmtId="0" fontId="103" fillId="0" borderId="10" xfId="0" applyFont="1" applyBorder="1" applyAlignment="1">
      <alignment horizontal="left" vertical="center" wrapText="1" indent="1"/>
    </xf>
    <xf numFmtId="172" fontId="104" fillId="0" borderId="10" xfId="0" applyNumberFormat="1" applyFont="1" applyBorder="1" applyAlignment="1">
      <alignment horizontal="center" vertical="center" wrapText="1"/>
    </xf>
    <xf numFmtId="172" fontId="103" fillId="0" borderId="10" xfId="0" applyNumberFormat="1" applyFont="1" applyBorder="1" applyAlignment="1">
      <alignment horizontal="center" vertical="center"/>
    </xf>
    <xf numFmtId="9" fontId="103" fillId="0" borderId="10" xfId="0" applyNumberFormat="1" applyFont="1" applyBorder="1" applyAlignment="1">
      <alignment horizontal="center" vertical="center"/>
    </xf>
    <xf numFmtId="172" fontId="103" fillId="0" borderId="10" xfId="0" applyNumberFormat="1" applyFont="1" applyBorder="1" applyAlignment="1">
      <alignment horizontal="center" vertical="center" wrapText="1"/>
    </xf>
    <xf numFmtId="172" fontId="102" fillId="0" borderId="10" xfId="0" applyNumberFormat="1" applyFont="1" applyBorder="1" applyAlignment="1">
      <alignment horizontal="center" vertical="center"/>
    </xf>
    <xf numFmtId="9" fontId="102" fillId="0" borderId="10" xfId="0" applyNumberFormat="1" applyFont="1" applyBorder="1" applyAlignment="1">
      <alignment horizontal="center" vertical="center"/>
    </xf>
    <xf numFmtId="0" fontId="103" fillId="0" borderId="10" xfId="0" applyFont="1" applyBorder="1" applyAlignment="1">
      <alignment horizontal="center" vertical="center"/>
    </xf>
    <xf numFmtId="0" fontId="102" fillId="12" borderId="2" xfId="0" applyFont="1" applyFill="1" applyBorder="1" applyAlignment="1">
      <alignment vertical="center" wrapText="1"/>
    </xf>
    <xf numFmtId="0" fontId="103" fillId="0" borderId="2" xfId="82" applyFont="1" applyBorder="1" applyAlignment="1">
      <alignment horizontal="center" vertical="center" wrapText="1"/>
    </xf>
    <xf numFmtId="0" fontId="103" fillId="0" borderId="37" xfId="82" applyFont="1" applyBorder="1" applyAlignment="1">
      <alignment horizontal="left" vertical="center" wrapText="1"/>
    </xf>
    <xf numFmtId="0" fontId="102" fillId="12" borderId="2" xfId="0" applyFont="1" applyFill="1" applyBorder="1" applyAlignment="1">
      <alignment horizontal="center" vertical="center" wrapText="1"/>
    </xf>
    <xf numFmtId="172" fontId="103" fillId="12" borderId="2" xfId="0" applyNumberFormat="1" applyFont="1" applyFill="1" applyBorder="1" applyAlignment="1">
      <alignment vertical="center" wrapText="1"/>
    </xf>
    <xf numFmtId="172" fontId="103" fillId="12" borderId="2" xfId="0" applyNumberFormat="1" applyFont="1" applyFill="1" applyBorder="1" applyAlignment="1">
      <alignment horizontal="right" vertical="center" wrapText="1"/>
    </xf>
    <xf numFmtId="10" fontId="103" fillId="12" borderId="2" xfId="0" applyNumberFormat="1" applyFont="1" applyFill="1" applyBorder="1" applyAlignment="1">
      <alignment vertical="center" wrapText="1"/>
    </xf>
    <xf numFmtId="40" fontId="103" fillId="12" borderId="2" xfId="0" applyNumberFormat="1" applyFont="1" applyFill="1" applyBorder="1" applyAlignment="1">
      <alignment vertical="center" wrapText="1"/>
    </xf>
    <xf numFmtId="0" fontId="103" fillId="12" borderId="2" xfId="0" applyFont="1" applyFill="1" applyBorder="1" applyAlignment="1">
      <alignment vertical="center" wrapText="1"/>
    </xf>
    <xf numFmtId="0" fontId="103" fillId="0" borderId="37" xfId="0" applyFont="1" applyBorder="1" applyAlignment="1">
      <alignment horizontal="center" vertical="center" wrapText="1"/>
    </xf>
    <xf numFmtId="172" fontId="37" fillId="0" borderId="10" xfId="0" applyNumberFormat="1" applyFont="1" applyBorder="1" applyAlignment="1">
      <alignment horizontal="center" vertical="center" wrapText="1"/>
    </xf>
    <xf numFmtId="9" fontId="36" fillId="0" borderId="10" xfId="0" applyNumberFormat="1" applyFont="1" applyBorder="1" applyAlignment="1">
      <alignment horizontal="center" vertical="center"/>
    </xf>
    <xf numFmtId="0" fontId="36" fillId="0" borderId="10" xfId="0" applyFont="1" applyBorder="1" applyAlignment="1">
      <alignment horizontal="center" vertical="center" wrapText="1"/>
    </xf>
    <xf numFmtId="0" fontId="105" fillId="0" borderId="10" xfId="0" applyFont="1" applyBorder="1" applyAlignment="1">
      <alignment horizontal="center" vertical="center" wrapText="1"/>
    </xf>
    <xf numFmtId="172" fontId="36" fillId="0" borderId="10" xfId="0" applyNumberFormat="1" applyFont="1" applyBorder="1" applyAlignment="1">
      <alignment horizontal="center" vertical="center" wrapText="1"/>
    </xf>
    <xf numFmtId="10" fontId="36" fillId="0" borderId="10" xfId="0" applyNumberFormat="1" applyFont="1" applyBorder="1" applyAlignment="1">
      <alignment horizontal="center" vertical="center" wrapText="1"/>
    </xf>
    <xf numFmtId="172" fontId="37" fillId="12" borderId="10" xfId="0" applyNumberFormat="1" applyFont="1" applyFill="1" applyBorder="1" applyAlignment="1">
      <alignment horizontal="center" vertical="center" wrapText="1"/>
    </xf>
    <xf numFmtId="10" fontId="36" fillId="12" borderId="10" xfId="0" applyNumberFormat="1" applyFont="1" applyFill="1" applyBorder="1" applyAlignment="1">
      <alignment horizontal="center" vertical="center" wrapText="1"/>
    </xf>
    <xf numFmtId="0" fontId="36" fillId="12" borderId="10" xfId="0" applyFont="1" applyFill="1" applyBorder="1" applyAlignment="1">
      <alignment horizontal="center" vertical="center" wrapText="1"/>
    </xf>
    <xf numFmtId="172" fontId="37" fillId="0" borderId="0" xfId="0" applyNumberFormat="1" applyFont="1" applyAlignment="1">
      <alignment horizontal="center" vertical="center" wrapText="1"/>
    </xf>
    <xf numFmtId="0" fontId="37" fillId="0" borderId="0" xfId="0" applyFont="1" applyAlignment="1">
      <alignment horizontal="center" vertical="center" wrapText="1"/>
    </xf>
    <xf numFmtId="49" fontId="103" fillId="12" borderId="10" xfId="0" applyNumberFormat="1" applyFont="1" applyFill="1" applyBorder="1" applyAlignment="1">
      <alignment vertical="center" wrapText="1"/>
    </xf>
    <xf numFmtId="172" fontId="104" fillId="0" borderId="10" xfId="0" applyNumberFormat="1" applyFont="1" applyBorder="1" applyAlignment="1">
      <alignment horizontal="center" vertical="center"/>
    </xf>
    <xf numFmtId="49" fontId="103" fillId="0" borderId="10" xfId="0" applyNumberFormat="1" applyFont="1" applyBorder="1" applyAlignment="1">
      <alignment horizontal="center" vertical="center"/>
    </xf>
    <xf numFmtId="0" fontId="102" fillId="12" borderId="37" xfId="0" applyFont="1" applyFill="1" applyBorder="1" applyAlignment="1">
      <alignment vertical="center" wrapText="1"/>
    </xf>
    <xf numFmtId="49" fontId="103" fillId="0" borderId="10" xfId="0" applyNumberFormat="1" applyFont="1" applyBorder="1" applyAlignment="1">
      <alignment horizontal="center" vertical="center" wrapText="1"/>
    </xf>
    <xf numFmtId="49" fontId="103" fillId="12" borderId="2" xfId="0" applyNumberFormat="1" applyFont="1" applyFill="1" applyBorder="1" applyAlignment="1">
      <alignment vertical="center" wrapText="1"/>
    </xf>
    <xf numFmtId="0" fontId="103" fillId="12" borderId="37" xfId="0" applyFont="1" applyFill="1" applyBorder="1" applyAlignment="1">
      <alignment vertical="center" wrapText="1"/>
    </xf>
    <xf numFmtId="49" fontId="36" fillId="0" borderId="10" xfId="0" applyNumberFormat="1" applyFont="1" applyBorder="1" applyAlignment="1">
      <alignment horizontal="center" vertical="center" wrapText="1"/>
    </xf>
    <xf numFmtId="49" fontId="36" fillId="12" borderId="10" xfId="0" applyNumberFormat="1" applyFont="1" applyFill="1" applyBorder="1" applyAlignment="1">
      <alignment horizontal="center" vertical="center" wrapText="1"/>
    </xf>
    <xf numFmtId="172" fontId="36" fillId="12" borderId="10" xfId="0" applyNumberFormat="1" applyFont="1" applyFill="1" applyBorder="1" applyAlignment="1">
      <alignment horizontal="center" vertical="center" wrapText="1"/>
    </xf>
    <xf numFmtId="0" fontId="101" fillId="0" borderId="0" xfId="0" applyFont="1" applyAlignment="1">
      <alignment horizontal="center" vertical="center" wrapText="1"/>
    </xf>
    <xf numFmtId="172" fontId="102" fillId="2" borderId="11" xfId="0" applyNumberFormat="1" applyFont="1" applyFill="1" applyBorder="1" applyAlignment="1">
      <alignment horizontal="center" vertical="center" wrapText="1"/>
    </xf>
    <xf numFmtId="172" fontId="102" fillId="2" borderId="37" xfId="0" applyNumberFormat="1" applyFont="1" applyFill="1" applyBorder="1" applyAlignment="1">
      <alignment horizontal="center" vertical="center" wrapText="1"/>
    </xf>
    <xf numFmtId="0" fontId="102" fillId="0" borderId="11" xfId="0" applyFont="1" applyBorder="1" applyAlignment="1">
      <alignment horizontal="center" vertical="center"/>
    </xf>
    <xf numFmtId="0" fontId="102" fillId="0" borderId="2" xfId="0" applyFont="1" applyBorder="1" applyAlignment="1">
      <alignment horizontal="center" vertical="center"/>
    </xf>
    <xf numFmtId="0" fontId="102" fillId="0" borderId="37" xfId="0" applyFont="1" applyBorder="1" applyAlignment="1">
      <alignment horizontal="center" vertical="center"/>
    </xf>
    <xf numFmtId="0" fontId="102" fillId="0" borderId="11" xfId="0" applyFont="1" applyBorder="1" applyAlignment="1">
      <alignment horizontal="center" vertical="center" wrapText="1"/>
    </xf>
    <xf numFmtId="0" fontId="102" fillId="0" borderId="2" xfId="0" applyFont="1" applyBorder="1" applyAlignment="1">
      <alignment horizontal="center" vertical="center" wrapText="1"/>
    </xf>
    <xf numFmtId="0" fontId="102" fillId="0" borderId="37"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7" xfId="0" applyFont="1" applyBorder="1" applyAlignment="1">
      <alignment horizontal="center" vertical="center" wrapText="1"/>
    </xf>
    <xf numFmtId="0" fontId="37" fillId="12" borderId="11" xfId="0" applyFont="1" applyFill="1" applyBorder="1" applyAlignment="1">
      <alignment horizontal="center" vertical="center" wrapText="1"/>
    </xf>
    <xf numFmtId="0" fontId="37" fillId="12" borderId="2" xfId="0" applyFont="1" applyFill="1" applyBorder="1" applyAlignment="1">
      <alignment horizontal="center" vertical="center" wrapText="1"/>
    </xf>
    <xf numFmtId="0" fontId="37" fillId="12" borderId="37" xfId="0" applyFont="1" applyFill="1" applyBorder="1" applyAlignment="1">
      <alignment horizontal="center" vertical="center" wrapText="1"/>
    </xf>
    <xf numFmtId="0" fontId="102" fillId="2" borderId="32" xfId="0" applyFont="1" applyFill="1" applyBorder="1" applyAlignment="1">
      <alignment horizontal="center" vertical="center" wrapText="1"/>
    </xf>
    <xf numFmtId="0" fontId="102" fillId="2" borderId="33" xfId="0" applyFont="1" applyFill="1" applyBorder="1" applyAlignment="1">
      <alignment horizontal="center" vertical="center" wrapText="1"/>
    </xf>
    <xf numFmtId="10" fontId="102" fillId="2" borderId="41" xfId="0" applyNumberFormat="1" applyFont="1" applyFill="1" applyBorder="1" applyAlignment="1">
      <alignment horizontal="center" vertical="center" wrapText="1"/>
    </xf>
    <xf numFmtId="10" fontId="102" fillId="2" borderId="42" xfId="0" applyNumberFormat="1" applyFont="1" applyFill="1" applyBorder="1" applyAlignment="1">
      <alignment horizontal="center" vertical="center" wrapText="1"/>
    </xf>
    <xf numFmtId="0" fontId="102" fillId="2" borderId="10" xfId="0" applyFont="1" applyFill="1" applyBorder="1" applyAlignment="1">
      <alignment horizontal="center" vertical="center" wrapText="1"/>
    </xf>
    <xf numFmtId="0" fontId="102" fillId="2" borderId="48" xfId="0" applyFont="1" applyFill="1" applyBorder="1" applyAlignment="1">
      <alignment horizontal="center" vertical="center" wrapText="1"/>
    </xf>
    <xf numFmtId="0" fontId="103" fillId="0" borderId="32" xfId="0" applyFont="1" applyBorder="1" applyAlignment="1">
      <alignment horizontal="center" vertical="center" wrapText="1"/>
    </xf>
    <xf numFmtId="0" fontId="103" fillId="0" borderId="48" xfId="0" applyFont="1" applyBorder="1" applyAlignment="1">
      <alignment horizontal="center" vertical="center" wrapText="1"/>
    </xf>
    <xf numFmtId="0" fontId="103" fillId="0" borderId="33" xfId="0" applyFont="1" applyBorder="1" applyAlignment="1">
      <alignment horizontal="center" vertical="center" wrapText="1"/>
    </xf>
    <xf numFmtId="172" fontId="36" fillId="0" borderId="0" xfId="0" applyNumberFormat="1" applyFont="1" applyAlignment="1">
      <alignment horizontal="center" vertical="center"/>
    </xf>
    <xf numFmtId="172" fontId="36" fillId="0" borderId="3" xfId="0" applyNumberFormat="1" applyFont="1" applyBorder="1" applyAlignment="1">
      <alignment horizontal="center" vertical="center"/>
    </xf>
    <xf numFmtId="49" fontId="102" fillId="2" borderId="10" xfId="0" applyNumberFormat="1" applyFont="1" applyFill="1" applyBorder="1" applyAlignment="1">
      <alignment horizontal="center" vertical="center" wrapText="1"/>
    </xf>
    <xf numFmtId="0" fontId="36" fillId="0" borderId="0" xfId="0" applyFont="1" applyAlignment="1">
      <alignment horizontal="center" vertical="center"/>
    </xf>
    <xf numFmtId="0" fontId="36" fillId="0" borderId="3" xfId="0" applyFont="1" applyBorder="1" applyAlignment="1">
      <alignment horizontal="center" vertical="center"/>
    </xf>
    <xf numFmtId="0" fontId="97" fillId="0" borderId="3" xfId="0" applyFont="1" applyBorder="1" applyAlignment="1">
      <alignment horizontal="center" vertical="center"/>
    </xf>
    <xf numFmtId="0" fontId="97" fillId="0" borderId="0" xfId="0" applyFont="1" applyAlignment="1">
      <alignment horizontal="center" vertical="center"/>
    </xf>
    <xf numFmtId="40" fontId="59" fillId="2" borderId="11" xfId="0" applyNumberFormat="1" applyFont="1" applyFill="1" applyBorder="1" applyAlignment="1">
      <alignment horizontal="center" vertical="center"/>
    </xf>
    <xf numFmtId="40" fontId="59" fillId="2" borderId="37" xfId="0" applyNumberFormat="1" applyFont="1" applyFill="1" applyBorder="1" applyAlignment="1">
      <alignment horizontal="center" vertical="center"/>
    </xf>
    <xf numFmtId="0" fontId="59" fillId="0" borderId="11" xfId="0" applyFont="1" applyBorder="1" applyAlignment="1">
      <alignment horizontal="center" vertical="center"/>
    </xf>
    <xf numFmtId="0" fontId="59" fillId="0" borderId="2" xfId="0" applyFont="1" applyBorder="1" applyAlignment="1">
      <alignment horizontal="center" vertical="center"/>
    </xf>
    <xf numFmtId="0" fontId="59" fillId="0" borderId="37" xfId="0" applyFont="1" applyBorder="1" applyAlignment="1">
      <alignment horizontal="center" vertical="center"/>
    </xf>
    <xf numFmtId="0" fontId="74" fillId="12" borderId="2" xfId="0" applyFont="1" applyFill="1" applyBorder="1" applyAlignment="1">
      <alignment horizontal="left" vertical="center" wrapText="1"/>
    </xf>
    <xf numFmtId="0" fontId="59" fillId="12" borderId="2" xfId="0" applyFont="1" applyFill="1" applyBorder="1" applyAlignment="1">
      <alignment horizontal="left" vertical="center" wrapText="1"/>
    </xf>
    <xf numFmtId="0" fontId="59" fillId="12" borderId="37" xfId="0" applyFont="1" applyFill="1" applyBorder="1" applyAlignment="1">
      <alignment horizontal="left" vertical="center" wrapText="1"/>
    </xf>
    <xf numFmtId="0" fontId="75" fillId="0" borderId="11" xfId="0" applyFont="1" applyBorder="1" applyAlignment="1">
      <alignment horizontal="center" vertical="center"/>
    </xf>
    <xf numFmtId="0" fontId="75" fillId="12" borderId="11" xfId="0" applyFont="1" applyFill="1" applyBorder="1" applyAlignment="1">
      <alignment horizontal="center" vertical="center"/>
    </xf>
    <xf numFmtId="0" fontId="59" fillId="12" borderId="2" xfId="0" applyFont="1" applyFill="1" applyBorder="1" applyAlignment="1">
      <alignment horizontal="center" vertical="center"/>
    </xf>
    <xf numFmtId="0" fontId="59" fillId="12" borderId="37" xfId="0" applyFont="1" applyFill="1" applyBorder="1" applyAlignment="1">
      <alignment horizontal="center" vertical="center"/>
    </xf>
    <xf numFmtId="0" fontId="59" fillId="2" borderId="32" xfId="0" applyFont="1" applyFill="1" applyBorder="1" applyAlignment="1">
      <alignment horizontal="center"/>
    </xf>
    <xf numFmtId="0" fontId="59" fillId="2" borderId="33" xfId="0" applyFont="1" applyFill="1" applyBorder="1" applyAlignment="1">
      <alignment horizontal="center"/>
    </xf>
    <xf numFmtId="0" fontId="59" fillId="2" borderId="10" xfId="0" applyFont="1" applyFill="1" applyBorder="1" applyAlignment="1">
      <alignment horizontal="center"/>
    </xf>
    <xf numFmtId="0" fontId="74" fillId="2" borderId="32" xfId="0" applyFont="1" applyFill="1" applyBorder="1" applyAlignment="1">
      <alignment horizontal="center" vertical="top" wrapText="1"/>
    </xf>
    <xf numFmtId="0" fontId="59" fillId="2" borderId="48" xfId="0" applyFont="1" applyFill="1" applyBorder="1" applyAlignment="1">
      <alignment horizontal="center" vertical="top"/>
    </xf>
    <xf numFmtId="0" fontId="74" fillId="2" borderId="10" xfId="0" applyFont="1" applyFill="1" applyBorder="1" applyAlignment="1">
      <alignment horizontal="center" vertical="top" wrapText="1"/>
    </xf>
    <xf numFmtId="0" fontId="59" fillId="2" borderId="10" xfId="0" applyFont="1" applyFill="1" applyBorder="1" applyAlignment="1">
      <alignment horizontal="center" vertical="top"/>
    </xf>
    <xf numFmtId="0" fontId="59" fillId="0" borderId="32" xfId="0" applyFont="1" applyBorder="1" applyAlignment="1">
      <alignment horizontal="center" vertical="top" wrapText="1"/>
    </xf>
    <xf numFmtId="0" fontId="59" fillId="0" borderId="48" xfId="0" applyFont="1" applyBorder="1" applyAlignment="1">
      <alignment horizontal="center" vertical="top" wrapText="1"/>
    </xf>
    <xf numFmtId="0" fontId="59" fillId="2" borderId="10" xfId="0" applyFont="1" applyFill="1" applyBorder="1" applyAlignment="1">
      <alignment horizontal="center" vertical="top" wrapText="1"/>
    </xf>
    <xf numFmtId="0" fontId="59" fillId="2" borderId="48" xfId="0" applyFont="1" applyFill="1" applyBorder="1" applyAlignment="1">
      <alignment horizontal="center" vertical="top" wrapText="1"/>
    </xf>
    <xf numFmtId="49" fontId="74" fillId="2" borderId="10" xfId="0" applyNumberFormat="1" applyFont="1" applyFill="1" applyBorder="1" applyAlignment="1">
      <alignment horizontal="center" vertical="top" wrapText="1"/>
    </xf>
    <xf numFmtId="49" fontId="59" fillId="2" borderId="10" xfId="0" applyNumberFormat="1" applyFont="1" applyFill="1" applyBorder="1" applyAlignment="1">
      <alignment horizontal="center" vertical="top" wrapText="1"/>
    </xf>
    <xf numFmtId="0" fontId="59" fillId="2" borderId="48" xfId="0" applyFont="1" applyFill="1" applyBorder="1" applyAlignment="1">
      <alignment horizontal="center"/>
    </xf>
    <xf numFmtId="0" fontId="59" fillId="0" borderId="10" xfId="0" applyFont="1" applyBorder="1" applyAlignment="1">
      <alignment horizontal="center" vertical="top"/>
    </xf>
    <xf numFmtId="0" fontId="67" fillId="0" borderId="3" xfId="0" applyFont="1" applyBorder="1" applyAlignment="1">
      <alignment horizontal="center" vertical="center"/>
    </xf>
    <xf numFmtId="0" fontId="67" fillId="0" borderId="0" xfId="0" applyFont="1" applyAlignment="1">
      <alignment horizontal="center" vertical="center"/>
    </xf>
    <xf numFmtId="40" fontId="59" fillId="2" borderId="11" xfId="0" applyNumberFormat="1" applyFont="1" applyFill="1" applyBorder="1" applyAlignment="1">
      <alignment horizontal="center"/>
    </xf>
    <xf numFmtId="40" fontId="59" fillId="2" borderId="37" xfId="0" applyNumberFormat="1" applyFont="1" applyFill="1" applyBorder="1" applyAlignment="1">
      <alignment horizontal="center"/>
    </xf>
    <xf numFmtId="0" fontId="59" fillId="12" borderId="11" xfId="0" applyFont="1" applyFill="1" applyBorder="1" applyAlignment="1">
      <alignment horizontal="center" vertical="center"/>
    </xf>
    <xf numFmtId="0" fontId="59" fillId="2" borderId="10" xfId="0" applyFont="1" applyFill="1" applyBorder="1" applyAlignment="1">
      <alignment horizontal="center" wrapText="1"/>
    </xf>
    <xf numFmtId="0" fontId="59" fillId="2" borderId="32" xfId="0" applyFont="1" applyFill="1" applyBorder="1" applyAlignment="1">
      <alignment horizontal="center" vertical="top" wrapText="1"/>
    </xf>
    <xf numFmtId="0" fontId="59" fillId="2" borderId="32" xfId="0" applyFont="1" applyFill="1" applyBorder="1" applyAlignment="1">
      <alignment horizontal="center" wrapText="1"/>
    </xf>
    <xf numFmtId="0" fontId="59" fillId="2" borderId="48" xfId="0" applyFont="1" applyFill="1" applyBorder="1" applyAlignment="1">
      <alignment horizontal="center" wrapText="1"/>
    </xf>
    <xf numFmtId="49" fontId="59" fillId="2" borderId="10" xfId="0" applyNumberFormat="1" applyFont="1" applyFill="1" applyBorder="1" applyAlignment="1">
      <alignment horizontal="center" wrapText="1"/>
    </xf>
    <xf numFmtId="40" fontId="59" fillId="2" borderId="29" xfId="0" applyNumberFormat="1" applyFont="1" applyFill="1" applyBorder="1" applyAlignment="1">
      <alignment horizontal="center" wrapText="1"/>
    </xf>
    <xf numFmtId="40" fontId="59" fillId="2" borderId="41" xfId="0" applyNumberFormat="1" applyFont="1" applyFill="1" applyBorder="1" applyAlignment="1">
      <alignment horizontal="center" wrapText="1"/>
    </xf>
    <xf numFmtId="40" fontId="59" fillId="2" borderId="30" xfId="0" applyNumberFormat="1" applyFont="1" applyFill="1" applyBorder="1" applyAlignment="1">
      <alignment horizontal="center" wrapText="1"/>
    </xf>
    <xf numFmtId="40" fontId="59" fillId="2" borderId="42" xfId="0" applyNumberFormat="1" applyFont="1" applyFill="1" applyBorder="1" applyAlignment="1">
      <alignment horizontal="center" wrapText="1"/>
    </xf>
    <xf numFmtId="40" fontId="59" fillId="2" borderId="11" xfId="0" applyNumberFormat="1" applyFont="1" applyFill="1" applyBorder="1" applyAlignment="1">
      <alignment horizontal="center" vertical="center" wrapText="1"/>
    </xf>
    <xf numFmtId="40" fontId="59" fillId="2" borderId="37" xfId="0" applyNumberFormat="1" applyFont="1" applyFill="1" applyBorder="1" applyAlignment="1">
      <alignment horizontal="center" vertical="center" wrapText="1"/>
    </xf>
    <xf numFmtId="0" fontId="59" fillId="2" borderId="32" xfId="0" applyFont="1" applyFill="1" applyBorder="1" applyAlignment="1">
      <alignment horizontal="center" vertical="top"/>
    </xf>
    <xf numFmtId="0" fontId="59" fillId="0" borderId="32" xfId="0" applyFont="1" applyBorder="1" applyAlignment="1">
      <alignment horizontal="center" wrapText="1"/>
    </xf>
    <xf numFmtId="0" fontId="59" fillId="0" borderId="48" xfId="0" applyFont="1" applyBorder="1" applyAlignment="1">
      <alignment horizontal="center" wrapText="1"/>
    </xf>
    <xf numFmtId="0" fontId="59" fillId="0" borderId="10" xfId="0" applyFont="1" applyBorder="1" applyAlignment="1">
      <alignment horizontal="center"/>
    </xf>
    <xf numFmtId="0" fontId="81" fillId="0" borderId="10" xfId="0" applyFont="1" applyBorder="1" applyAlignment="1">
      <alignment horizontal="center" vertical="center"/>
    </xf>
    <xf numFmtId="0" fontId="82" fillId="2" borderId="10" xfId="0" applyFont="1" applyFill="1" applyBorder="1" applyAlignment="1">
      <alignment horizontal="center" vertical="center" wrapText="1"/>
    </xf>
    <xf numFmtId="172" fontId="38" fillId="2" borderId="10" xfId="0" applyNumberFormat="1" applyFont="1" applyFill="1" applyBorder="1" applyAlignment="1">
      <alignment horizontal="center" vertical="center" wrapText="1"/>
    </xf>
    <xf numFmtId="172" fontId="82" fillId="2" borderId="10" xfId="0" applyNumberFormat="1" applyFont="1" applyFill="1" applyBorder="1" applyAlignment="1">
      <alignment horizontal="center" vertical="center" wrapText="1"/>
    </xf>
    <xf numFmtId="0" fontId="82" fillId="2" borderId="10" xfId="0" applyFont="1" applyFill="1" applyBorder="1" applyAlignment="1">
      <alignment horizontal="center" vertical="center"/>
    </xf>
    <xf numFmtId="0" fontId="84" fillId="2" borderId="10" xfId="0" applyFont="1" applyFill="1" applyBorder="1" applyAlignment="1">
      <alignment horizontal="center" vertical="center"/>
    </xf>
    <xf numFmtId="0" fontId="38" fillId="0" borderId="10" xfId="0" applyFont="1" applyBorder="1" applyAlignment="1">
      <alignment horizontal="center" vertical="center" wrapText="1"/>
    </xf>
    <xf numFmtId="0" fontId="82" fillId="0" borderId="10" xfId="0" applyFont="1" applyBorder="1" applyAlignment="1">
      <alignment horizontal="center" vertical="center" wrapText="1"/>
    </xf>
    <xf numFmtId="172" fontId="39" fillId="0" borderId="10" xfId="0" applyNumberFormat="1" applyFont="1" applyBorder="1" applyAlignment="1">
      <alignment horizontal="center" vertical="center" wrapText="1"/>
    </xf>
    <xf numFmtId="0" fontId="38" fillId="0" borderId="10" xfId="0" applyFont="1" applyBorder="1" applyAlignment="1">
      <alignment horizontal="center" vertical="center"/>
    </xf>
    <xf numFmtId="0" fontId="82" fillId="0" borderId="10" xfId="0" applyFont="1" applyBorder="1" applyAlignment="1">
      <alignment horizontal="center" vertical="center"/>
    </xf>
    <xf numFmtId="172" fontId="78" fillId="0" borderId="10" xfId="0" applyNumberFormat="1" applyFont="1" applyBorder="1" applyAlignment="1">
      <alignment horizontal="center" vertical="center"/>
    </xf>
    <xf numFmtId="0" fontId="38" fillId="2" borderId="10" xfId="0" applyFont="1" applyFill="1" applyBorder="1" applyAlignment="1">
      <alignment horizontal="center" wrapText="1"/>
    </xf>
    <xf numFmtId="0" fontId="82" fillId="2" borderId="10" xfId="0" applyFont="1" applyFill="1" applyBorder="1" applyAlignment="1">
      <alignment horizontal="center" wrapText="1"/>
    </xf>
    <xf numFmtId="172" fontId="38" fillId="2" borderId="10" xfId="0" applyNumberFormat="1" applyFont="1" applyFill="1" applyBorder="1" applyAlignment="1">
      <alignment horizontal="center" wrapText="1"/>
    </xf>
    <xf numFmtId="172" fontId="82" fillId="2" borderId="10" xfId="0" applyNumberFormat="1" applyFont="1" applyFill="1" applyBorder="1" applyAlignment="1">
      <alignment horizontal="center" wrapText="1"/>
    </xf>
    <xf numFmtId="175" fontId="82" fillId="2" borderId="10" xfId="0" applyNumberFormat="1" applyFont="1" applyFill="1" applyBorder="1" applyAlignment="1">
      <alignment horizontal="center" wrapText="1"/>
    </xf>
    <xf numFmtId="175" fontId="84" fillId="2" borderId="10" xfId="0" applyNumberFormat="1" applyFont="1" applyFill="1" applyBorder="1" applyAlignment="1">
      <alignment horizontal="center" wrapText="1"/>
    </xf>
    <xf numFmtId="0" fontId="63" fillId="0" borderId="14" xfId="0" applyFont="1" applyBorder="1" applyAlignment="1">
      <alignment horizontal="center" vertical="center"/>
    </xf>
    <xf numFmtId="0" fontId="63" fillId="0" borderId="15" xfId="0" applyFont="1" applyBorder="1" applyAlignment="1">
      <alignment horizontal="center" vertical="center"/>
    </xf>
    <xf numFmtId="0" fontId="63" fillId="0" borderId="16" xfId="0" applyFont="1" applyBorder="1" applyAlignment="1">
      <alignment horizontal="center" vertical="center"/>
    </xf>
    <xf numFmtId="0" fontId="64" fillId="0" borderId="14" xfId="0" applyFont="1" applyBorder="1" applyAlignment="1">
      <alignment horizontal="center" vertical="center"/>
    </xf>
    <xf numFmtId="0" fontId="64" fillId="0" borderId="15" xfId="0" applyFont="1" applyBorder="1" applyAlignment="1">
      <alignment horizontal="center" vertical="center"/>
    </xf>
    <xf numFmtId="0" fontId="64" fillId="0" borderId="16" xfId="0" applyFont="1" applyBorder="1" applyAlignment="1">
      <alignment horizontal="center" vertical="center"/>
    </xf>
    <xf numFmtId="0" fontId="63" fillId="0" borderId="12" xfId="0" applyFont="1" applyBorder="1" applyAlignment="1">
      <alignment horizontal="center" vertical="center"/>
    </xf>
    <xf numFmtId="0" fontId="63" fillId="0" borderId="20" xfId="0" applyFont="1" applyBorder="1" applyAlignment="1">
      <alignment horizontal="center" vertical="center"/>
    </xf>
    <xf numFmtId="0" fontId="56" fillId="0" borderId="0" xfId="0" applyFont="1" applyAlignment="1">
      <alignment horizontal="center" vertical="center"/>
    </xf>
    <xf numFmtId="172" fontId="56" fillId="0" borderId="0" xfId="0" applyNumberFormat="1" applyFont="1" applyAlignment="1">
      <alignment horizontal="center" vertical="center"/>
    </xf>
    <xf numFmtId="0" fontId="56" fillId="10" borderId="10" xfId="0" applyFont="1" applyFill="1" applyBorder="1" applyAlignment="1">
      <alignment horizontal="center" vertical="center" wrapText="1"/>
    </xf>
    <xf numFmtId="172" fontId="57" fillId="10" borderId="10" xfId="0" applyNumberFormat="1" applyFont="1" applyFill="1" applyBorder="1" applyAlignment="1">
      <alignment horizontal="center" vertical="center" wrapText="1"/>
    </xf>
    <xf numFmtId="172" fontId="56" fillId="10" borderId="10" xfId="0" applyNumberFormat="1" applyFont="1" applyFill="1" applyBorder="1" applyAlignment="1">
      <alignment horizontal="center" vertical="center" wrapText="1"/>
    </xf>
    <xf numFmtId="0" fontId="56" fillId="10" borderId="10" xfId="0" applyFont="1" applyFill="1" applyBorder="1" applyAlignment="1">
      <alignment horizontal="center" wrapText="1"/>
    </xf>
    <xf numFmtId="0" fontId="56" fillId="10" borderId="32" xfId="0" applyFont="1" applyFill="1" applyBorder="1" applyAlignment="1">
      <alignment horizontal="center" wrapText="1"/>
    </xf>
    <xf numFmtId="0" fontId="56" fillId="10" borderId="33" xfId="0" applyFont="1" applyFill="1" applyBorder="1" applyAlignment="1">
      <alignment horizontal="center" wrapText="1"/>
    </xf>
    <xf numFmtId="172" fontId="57" fillId="10" borderId="32" xfId="0" applyNumberFormat="1" applyFont="1" applyFill="1" applyBorder="1" applyAlignment="1">
      <alignment horizontal="center" wrapText="1"/>
    </xf>
    <xf numFmtId="172" fontId="56" fillId="10" borderId="33" xfId="0" applyNumberFormat="1" applyFont="1" applyFill="1" applyBorder="1" applyAlignment="1">
      <alignment horizontal="center" wrapText="1"/>
    </xf>
    <xf numFmtId="0" fontId="57" fillId="10" borderId="10" xfId="0" applyFont="1" applyFill="1" applyBorder="1" applyAlignment="1">
      <alignment horizontal="center" wrapText="1"/>
    </xf>
    <xf numFmtId="0" fontId="57" fillId="10" borderId="29" xfId="0" applyFont="1" applyFill="1" applyBorder="1" applyAlignment="1">
      <alignment horizontal="center" wrapText="1"/>
    </xf>
    <xf numFmtId="0" fontId="56" fillId="10" borderId="30" xfId="0" applyFont="1" applyFill="1" applyBorder="1" applyAlignment="1">
      <alignment horizontal="center" wrapText="1"/>
    </xf>
    <xf numFmtId="0" fontId="56" fillId="10" borderId="29" xfId="0" applyFont="1" applyFill="1" applyBorder="1" applyAlignment="1">
      <alignment horizontal="center" wrapText="1"/>
    </xf>
    <xf numFmtId="0" fontId="57" fillId="10" borderId="32" xfId="0" applyFont="1" applyFill="1" applyBorder="1" applyAlignment="1">
      <alignment horizontal="center" wrapText="1"/>
    </xf>
    <xf numFmtId="0" fontId="60" fillId="10" borderId="33" xfId="0" applyFont="1" applyFill="1" applyBorder="1" applyAlignment="1">
      <alignment horizontal="center" wrapText="1"/>
    </xf>
    <xf numFmtId="49" fontId="57" fillId="10" borderId="32" xfId="0" applyNumberFormat="1" applyFont="1" applyFill="1" applyBorder="1" applyAlignment="1">
      <alignment horizontal="center" wrapText="1"/>
    </xf>
    <xf numFmtId="49" fontId="42" fillId="10" borderId="33" xfId="0" applyNumberFormat="1" applyFont="1" applyFill="1" applyBorder="1" applyAlignment="1">
      <alignment horizontal="center" wrapText="1"/>
    </xf>
    <xf numFmtId="170" fontId="42" fillId="0" borderId="0" xfId="85" applyNumberFormat="1" applyFont="1" applyAlignment="1">
      <alignment horizontal="center" vertical="center"/>
    </xf>
    <xf numFmtId="170" fontId="45" fillId="0" borderId="0" xfId="85" applyNumberFormat="1" applyFont="1" applyAlignment="1">
      <alignment horizontal="center" vertical="center"/>
    </xf>
    <xf numFmtId="10" fontId="45" fillId="0" borderId="0" xfId="85" applyNumberFormat="1" applyFont="1" applyAlignment="1">
      <alignment horizontal="center" vertical="center"/>
    </xf>
    <xf numFmtId="0" fontId="19" fillId="0" borderId="0" xfId="85" applyFont="1" applyAlignment="1">
      <alignment horizontal="right" vertical="center"/>
    </xf>
    <xf numFmtId="170" fontId="43" fillId="0" borderId="0" xfId="85" applyNumberFormat="1" applyFont="1" applyAlignment="1">
      <alignment horizontal="right" vertical="center"/>
    </xf>
    <xf numFmtId="170" fontId="46" fillId="0" borderId="0" xfId="85" applyNumberFormat="1" applyFont="1" applyAlignment="1">
      <alignment horizontal="right" vertical="center"/>
    </xf>
    <xf numFmtId="10" fontId="46" fillId="0" borderId="0" xfId="85" applyNumberFormat="1" applyFont="1" applyAlignment="1">
      <alignment horizontal="right" vertical="center"/>
    </xf>
    <xf numFmtId="170" fontId="42" fillId="0" borderId="10" xfId="85" applyNumberFormat="1" applyFont="1" applyBorder="1" applyAlignment="1">
      <alignment horizontal="center" vertical="center" shrinkToFit="1"/>
    </xf>
    <xf numFmtId="170" fontId="19" fillId="0" borderId="10" xfId="85" applyNumberFormat="1" applyFont="1" applyBorder="1" applyAlignment="1">
      <alignment horizontal="center" vertical="center" shrinkToFit="1"/>
    </xf>
    <xf numFmtId="170" fontId="43" fillId="0" borderId="10" xfId="85" applyNumberFormat="1" applyFont="1" applyBorder="1" applyAlignment="1">
      <alignment horizontal="center" vertical="center" shrinkToFit="1"/>
    </xf>
    <xf numFmtId="170" fontId="46" fillId="0" borderId="10" xfId="85" applyNumberFormat="1" applyFont="1" applyBorder="1" applyAlignment="1">
      <alignment horizontal="center" vertical="center" shrinkToFit="1"/>
    </xf>
    <xf numFmtId="170" fontId="45" fillId="0" borderId="10" xfId="85" applyNumberFormat="1" applyFont="1" applyBorder="1" applyAlignment="1">
      <alignment horizontal="center" vertical="center" shrinkToFit="1"/>
    </xf>
    <xf numFmtId="170" fontId="42" fillId="0" borderId="11" xfId="85" applyNumberFormat="1" applyFont="1" applyBorder="1" applyAlignment="1">
      <alignment horizontal="center" vertical="center" shrinkToFit="1"/>
    </xf>
    <xf numFmtId="170" fontId="42" fillId="0" borderId="2" xfId="85" applyNumberFormat="1" applyFont="1" applyBorder="1" applyAlignment="1">
      <alignment horizontal="center" vertical="center" shrinkToFit="1"/>
    </xf>
    <xf numFmtId="170" fontId="45" fillId="0" borderId="2" xfId="85" applyNumberFormat="1" applyFont="1" applyBorder="1" applyAlignment="1">
      <alignment horizontal="center" vertical="center" shrinkToFit="1"/>
    </xf>
    <xf numFmtId="170" fontId="45" fillId="0" borderId="11" xfId="85" applyNumberFormat="1" applyFont="1" applyBorder="1" applyAlignment="1">
      <alignment horizontal="center" vertical="center" shrinkToFit="1"/>
    </xf>
    <xf numFmtId="170" fontId="45" fillId="0" borderId="37" xfId="85" applyNumberFormat="1" applyFont="1" applyBorder="1" applyAlignment="1">
      <alignment horizontal="center" vertical="center" shrinkToFit="1"/>
    </xf>
    <xf numFmtId="170" fontId="45" fillId="22" borderId="11" xfId="85" applyNumberFormat="1" applyFont="1" applyFill="1" applyBorder="1" applyAlignment="1">
      <alignment horizontal="center" vertical="center"/>
    </xf>
    <xf numFmtId="170" fontId="45" fillId="22" borderId="37" xfId="85" applyNumberFormat="1" applyFont="1" applyFill="1" applyBorder="1" applyAlignment="1">
      <alignment horizontal="center" vertical="center"/>
    </xf>
    <xf numFmtId="170" fontId="46" fillId="0" borderId="11" xfId="62" applyNumberFormat="1" applyFont="1" applyBorder="1" applyAlignment="1">
      <alignment horizontal="center" vertical="center" shrinkToFit="1"/>
    </xf>
    <xf numFmtId="170" fontId="46" fillId="0" borderId="37" xfId="62" applyNumberFormat="1" applyFont="1" applyBorder="1" applyAlignment="1">
      <alignment horizontal="center" vertical="center" shrinkToFit="1"/>
    </xf>
    <xf numFmtId="170" fontId="46" fillId="0" borderId="10" xfId="62" applyNumberFormat="1" applyFont="1" applyBorder="1" applyAlignment="1">
      <alignment horizontal="center" vertical="center" shrinkToFit="1"/>
    </xf>
    <xf numFmtId="0" fontId="42" fillId="0" borderId="10" xfId="85" applyFont="1" applyBorder="1" applyAlignment="1">
      <alignment horizontal="center" vertical="center" shrinkToFit="1"/>
    </xf>
    <xf numFmtId="170" fontId="42" fillId="0" borderId="32" xfId="85" applyNumberFormat="1" applyFont="1" applyBorder="1" applyAlignment="1">
      <alignment horizontal="center" vertical="center" shrinkToFit="1"/>
    </xf>
    <xf numFmtId="170" fontId="42" fillId="0" borderId="33" xfId="85" applyNumberFormat="1" applyFont="1" applyBorder="1" applyAlignment="1">
      <alignment horizontal="center" vertical="center" shrinkToFit="1"/>
    </xf>
    <xf numFmtId="0" fontId="43" fillId="0" borderId="12" xfId="0" applyFont="1" applyBorder="1" applyAlignment="1">
      <alignment horizontal="center" vertical="center" wrapText="1"/>
    </xf>
    <xf numFmtId="0" fontId="43" fillId="0" borderId="20" xfId="0" applyFont="1" applyBorder="1" applyAlignment="1">
      <alignment horizontal="center" vertical="center" wrapText="1"/>
    </xf>
    <xf numFmtId="173" fontId="43" fillId="0" borderId="12" xfId="0" applyNumberFormat="1" applyFont="1" applyBorder="1" applyAlignment="1">
      <alignment horizontal="center" vertical="center" wrapText="1"/>
    </xf>
    <xf numFmtId="10" fontId="43" fillId="0" borderId="12" xfId="0" applyNumberFormat="1" applyFont="1" applyBorder="1" applyAlignment="1">
      <alignment horizontal="center" vertical="center" wrapText="1"/>
    </xf>
    <xf numFmtId="10" fontId="45" fillId="0" borderId="10" xfId="85" applyNumberFormat="1" applyFont="1" applyBorder="1" applyAlignment="1">
      <alignment horizontal="center" vertical="center"/>
    </xf>
    <xf numFmtId="0" fontId="23" fillId="0" borderId="24" xfId="0" applyFont="1" applyBorder="1" applyAlignment="1">
      <alignment horizontal="center" vertical="center"/>
    </xf>
    <xf numFmtId="0" fontId="24" fillId="10" borderId="5" xfId="0" applyFont="1" applyFill="1" applyBorder="1" applyAlignment="1">
      <alignment horizontal="center" vertical="center"/>
    </xf>
    <xf numFmtId="0" fontId="24" fillId="10" borderId="6" xfId="0" applyFont="1" applyFill="1" applyBorder="1" applyAlignment="1">
      <alignment horizontal="center" vertical="center"/>
    </xf>
    <xf numFmtId="0" fontId="24" fillId="10" borderId="7" xfId="0" applyFont="1" applyFill="1" applyBorder="1" applyAlignment="1">
      <alignment horizontal="center" vertical="center"/>
    </xf>
    <xf numFmtId="0" fontId="25" fillId="10" borderId="5" xfId="0" applyFont="1" applyFill="1" applyBorder="1" applyAlignment="1">
      <alignment horizontal="center" vertical="center"/>
    </xf>
    <xf numFmtId="0" fontId="25" fillId="10" borderId="6" xfId="0" applyFont="1" applyFill="1" applyBorder="1" applyAlignment="1">
      <alignment horizontal="center" vertical="center"/>
    </xf>
    <xf numFmtId="0" fontId="25" fillId="10" borderId="7" xfId="0" applyFont="1" applyFill="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49" fontId="24" fillId="10" borderId="4" xfId="0" applyNumberFormat="1" applyFont="1" applyFill="1" applyBorder="1" applyAlignment="1">
      <alignment horizontal="center" vertical="center"/>
    </xf>
    <xf numFmtId="49" fontId="24" fillId="10" borderId="8" xfId="0" applyNumberFormat="1" applyFont="1" applyFill="1" applyBorder="1" applyAlignment="1">
      <alignment horizontal="center" vertical="center"/>
    </xf>
    <xf numFmtId="0" fontId="24" fillId="10" borderId="4" xfId="0" applyFont="1" applyFill="1" applyBorder="1" applyAlignment="1">
      <alignment horizontal="left" vertical="center"/>
    </xf>
    <xf numFmtId="0" fontId="24" fillId="10" borderId="25" xfId="0" applyFont="1" applyFill="1" applyBorder="1" applyAlignment="1">
      <alignment horizontal="left" vertical="center"/>
    </xf>
    <xf numFmtId="0" fontId="24" fillId="10" borderId="4" xfId="0" applyFont="1" applyFill="1" applyBorder="1" applyAlignment="1">
      <alignment horizontal="center" vertical="center"/>
    </xf>
    <xf numFmtId="0" fontId="24" fillId="10" borderId="8" xfId="0" applyFont="1" applyFill="1" applyBorder="1" applyAlignment="1">
      <alignment horizontal="center" vertical="center"/>
    </xf>
    <xf numFmtId="0" fontId="30" fillId="0" borderId="35" xfId="0" applyFont="1" applyBorder="1" applyAlignment="1">
      <alignment horizontal="center" vertical="center"/>
    </xf>
    <xf numFmtId="0" fontId="28" fillId="0" borderId="35" xfId="0" applyFont="1" applyBorder="1" applyAlignment="1">
      <alignment horizontal="center" vertical="center"/>
    </xf>
    <xf numFmtId="49" fontId="27" fillId="10" borderId="29" xfId="0" applyNumberFormat="1" applyFont="1" applyFill="1" applyBorder="1" applyAlignment="1">
      <alignment horizontal="center" wrapText="1"/>
    </xf>
    <xf numFmtId="49" fontId="27" fillId="10" borderId="30" xfId="0" applyNumberFormat="1" applyFont="1" applyFill="1" applyBorder="1" applyAlignment="1">
      <alignment horizontal="center" wrapText="1"/>
    </xf>
    <xf numFmtId="49" fontId="27" fillId="10" borderId="10" xfId="0" applyNumberFormat="1" applyFont="1" applyFill="1" applyBorder="1" applyAlignment="1">
      <alignment horizontal="center" wrapText="1"/>
    </xf>
    <xf numFmtId="49" fontId="27" fillId="10" borderId="32" xfId="0" applyNumberFormat="1" applyFont="1" applyFill="1" applyBorder="1" applyAlignment="1">
      <alignment horizontal="center" wrapText="1"/>
    </xf>
    <xf numFmtId="49" fontId="27" fillId="10" borderId="33" xfId="0" applyNumberFormat="1" applyFont="1" applyFill="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19" fillId="0" borderId="14" xfId="0" applyFont="1" applyBorder="1" applyAlignment="1">
      <alignment horizontal="left" vertical="center" wrapText="1" indent="1"/>
    </xf>
    <xf numFmtId="0" fontId="19" fillId="0" borderId="15" xfId="0" applyFont="1" applyBorder="1" applyAlignment="1">
      <alignment horizontal="left" vertical="center" wrapText="1" indent="1"/>
    </xf>
    <xf numFmtId="0" fontId="19" fillId="0" borderId="16" xfId="0" applyFont="1" applyBorder="1" applyAlignment="1">
      <alignment horizontal="left" vertical="center" wrapText="1" indent="1"/>
    </xf>
    <xf numFmtId="0" fontId="20" fillId="0" borderId="19"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1" xfId="0" applyFont="1" applyBorder="1" applyAlignment="1">
      <alignment horizontal="center" vertical="center" wrapText="1"/>
    </xf>
    <xf numFmtId="0" fontId="19" fillId="0" borderId="23" xfId="0" applyFont="1" applyBorder="1" applyAlignment="1">
      <alignment vertical="center" wrapText="1"/>
    </xf>
    <xf numFmtId="0" fontId="19" fillId="0" borderId="0" xfId="0" applyFont="1" applyAlignment="1">
      <alignment vertical="center" wrapText="1"/>
    </xf>
    <xf numFmtId="0" fontId="19" fillId="0" borderId="18" xfId="0" applyFont="1" applyBorder="1" applyAlignment="1">
      <alignment vertical="center" wrapText="1"/>
    </xf>
    <xf numFmtId="10" fontId="19" fillId="0" borderId="14" xfId="0" applyNumberFormat="1" applyFont="1" applyBorder="1" applyAlignment="1">
      <alignment horizontal="right" vertical="center" wrapText="1"/>
    </xf>
    <xf numFmtId="10" fontId="19" fillId="0" borderId="16" xfId="0" applyNumberFormat="1" applyFont="1" applyBorder="1" applyAlignment="1">
      <alignment horizontal="right" vertical="center" wrapText="1"/>
    </xf>
    <xf numFmtId="10" fontId="19" fillId="0" borderId="19" xfId="0" applyNumberFormat="1" applyFont="1" applyBorder="1" applyAlignment="1">
      <alignment horizontal="right" vertical="center" wrapText="1"/>
    </xf>
    <xf numFmtId="10" fontId="19" fillId="0" borderId="13" xfId="0" applyNumberFormat="1" applyFont="1" applyBorder="1" applyAlignment="1">
      <alignment horizontal="right" vertical="center" wrapText="1"/>
    </xf>
    <xf numFmtId="0" fontId="19" fillId="0" borderId="19"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4" xfId="0" applyFont="1" applyBorder="1" applyAlignment="1">
      <alignment vertical="center" wrapText="1"/>
    </xf>
    <xf numFmtId="0" fontId="19" fillId="0" borderId="16" xfId="0" applyFont="1" applyBorder="1" applyAlignment="1">
      <alignment vertical="center" wrapText="1"/>
    </xf>
    <xf numFmtId="0" fontId="19" fillId="0" borderId="19" xfId="0" applyFont="1" applyBorder="1" applyAlignment="1">
      <alignment horizontal="left" vertical="center" wrapText="1" indent="1"/>
    </xf>
    <xf numFmtId="0" fontId="19" fillId="0" borderId="13" xfId="0" applyFont="1" applyBorder="1" applyAlignment="1">
      <alignment horizontal="left" vertical="center" wrapText="1" indent="1"/>
    </xf>
    <xf numFmtId="10" fontId="19" fillId="0" borderId="23" xfId="0" applyNumberFormat="1" applyFont="1" applyBorder="1" applyAlignment="1">
      <alignment horizontal="left" vertical="center" wrapText="1" indent="7"/>
    </xf>
    <xf numFmtId="10" fontId="19" fillId="0" borderId="18" xfId="0" applyNumberFormat="1" applyFont="1" applyBorder="1" applyAlignment="1">
      <alignment horizontal="left" vertical="center" wrapText="1" indent="7"/>
    </xf>
    <xf numFmtId="0" fontId="19" fillId="0" borderId="22" xfId="0" applyFont="1" applyBorder="1" applyAlignment="1">
      <alignment horizontal="left" vertical="center" wrapText="1" indent="1"/>
    </xf>
    <xf numFmtId="0" fontId="19" fillId="0" borderId="21" xfId="0" applyFont="1" applyBorder="1" applyAlignment="1">
      <alignment horizontal="left" vertical="center" wrapText="1" indent="1"/>
    </xf>
    <xf numFmtId="0" fontId="19" fillId="0" borderId="23" xfId="0" applyFont="1" applyBorder="1" applyAlignment="1">
      <alignment horizontal="left" vertical="center" wrapText="1" indent="1"/>
    </xf>
    <xf numFmtId="0" fontId="19" fillId="0" borderId="18" xfId="0" applyFont="1" applyBorder="1" applyAlignment="1">
      <alignment horizontal="left" vertical="center" wrapText="1" indent="1"/>
    </xf>
    <xf numFmtId="0" fontId="20" fillId="0" borderId="12" xfId="0" applyFont="1" applyBorder="1" applyAlignment="1">
      <alignment horizontal="center" vertical="center" wrapText="1"/>
    </xf>
    <xf numFmtId="0" fontId="20" fillId="0" borderId="2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7" xfId="0" applyFont="1" applyBorder="1" applyAlignment="1">
      <alignment horizontal="center" vertical="center" wrapText="1"/>
    </xf>
    <xf numFmtId="0" fontId="20" fillId="0" borderId="12" xfId="0" applyFont="1" applyBorder="1" applyAlignment="1">
      <alignment horizontal="right" vertical="center" wrapText="1"/>
    </xf>
    <xf numFmtId="0" fontId="20" fillId="0" borderId="17" xfId="0" applyFont="1" applyBorder="1" applyAlignment="1">
      <alignment horizontal="right" vertical="center" wrapText="1"/>
    </xf>
    <xf numFmtId="0" fontId="20" fillId="0" borderId="20" xfId="0" applyFont="1" applyBorder="1" applyAlignment="1">
      <alignment horizontal="right" vertical="center" wrapText="1"/>
    </xf>
    <xf numFmtId="0" fontId="19" fillId="0" borderId="12" xfId="0" applyFont="1" applyBorder="1" applyAlignment="1">
      <alignment horizontal="left" vertical="center" wrapText="1" indent="2"/>
    </xf>
    <xf numFmtId="0" fontId="19" fillId="0" borderId="20" xfId="0" applyFont="1" applyBorder="1" applyAlignment="1">
      <alignment horizontal="left" vertical="center" wrapText="1" indent="2"/>
    </xf>
    <xf numFmtId="0" fontId="20" fillId="0" borderId="12" xfId="0" applyFont="1" applyBorder="1" applyAlignment="1">
      <alignment vertical="center" wrapText="1"/>
    </xf>
    <xf numFmtId="0" fontId="20" fillId="0" borderId="20" xfId="0" applyFont="1" applyBorder="1" applyAlignment="1">
      <alignment vertical="center" wrapText="1"/>
    </xf>
    <xf numFmtId="0" fontId="19" fillId="0" borderId="12" xfId="0" applyFont="1" applyBorder="1" applyAlignment="1">
      <alignment vertical="center" wrapText="1"/>
    </xf>
    <xf numFmtId="0" fontId="19" fillId="0" borderId="17" xfId="0" applyFont="1" applyBorder="1" applyAlignment="1">
      <alignment vertical="center" wrapText="1"/>
    </xf>
    <xf numFmtId="0" fontId="19" fillId="0" borderId="20" xfId="0" applyFont="1" applyBorder="1" applyAlignment="1">
      <alignment vertical="center" wrapText="1"/>
    </xf>
    <xf numFmtId="0" fontId="20" fillId="0" borderId="17" xfId="0" applyFont="1" applyBorder="1" applyAlignment="1">
      <alignment vertical="center" wrapText="1"/>
    </xf>
    <xf numFmtId="0" fontId="19" fillId="0" borderId="12" xfId="0" applyFont="1" applyBorder="1" applyAlignment="1">
      <alignment horizontal="left" vertical="center" wrapText="1" indent="1"/>
    </xf>
    <xf numFmtId="0" fontId="19" fillId="0" borderId="20" xfId="0" applyFont="1" applyBorder="1" applyAlignment="1">
      <alignment horizontal="left" vertical="center" wrapText="1" indent="1"/>
    </xf>
    <xf numFmtId="0" fontId="19" fillId="0" borderId="12" xfId="0" applyFont="1" applyBorder="1" applyAlignment="1">
      <alignment horizontal="right" vertical="center" wrapText="1"/>
    </xf>
    <xf numFmtId="0" fontId="19" fillId="0" borderId="20" xfId="0" applyFont="1" applyBorder="1" applyAlignment="1">
      <alignment horizontal="right" vertical="center" wrapText="1"/>
    </xf>
    <xf numFmtId="0" fontId="19" fillId="0" borderId="17" xfId="0" applyFont="1" applyBorder="1" applyAlignment="1">
      <alignment horizontal="right" vertical="center" wrapText="1"/>
    </xf>
    <xf numFmtId="10" fontId="19" fillId="0" borderId="12" xfId="0" applyNumberFormat="1" applyFont="1" applyBorder="1" applyAlignment="1">
      <alignment vertical="center" wrapText="1"/>
    </xf>
    <xf numFmtId="10" fontId="19" fillId="0" borderId="20" xfId="0" applyNumberFormat="1" applyFont="1" applyBorder="1" applyAlignment="1">
      <alignment vertical="center" wrapText="1"/>
    </xf>
    <xf numFmtId="10" fontId="19" fillId="0" borderId="22" xfId="0" applyNumberFormat="1" applyFont="1" applyBorder="1" applyAlignment="1">
      <alignment horizontal="right" vertical="center" wrapText="1"/>
    </xf>
    <xf numFmtId="10" fontId="19" fillId="0" borderId="21" xfId="0" applyNumberFormat="1" applyFont="1" applyBorder="1" applyAlignment="1">
      <alignment horizontal="right" vertical="center" wrapText="1"/>
    </xf>
    <xf numFmtId="0" fontId="19" fillId="0" borderId="19" xfId="0" applyFont="1" applyBorder="1" applyAlignment="1">
      <alignment vertical="center" wrapText="1"/>
    </xf>
    <xf numFmtId="0" fontId="19" fillId="0" borderId="13" xfId="0" applyFont="1" applyBorder="1" applyAlignment="1">
      <alignment vertical="center" wrapText="1"/>
    </xf>
    <xf numFmtId="0" fontId="19" fillId="0" borderId="22" xfId="0" applyFont="1" applyBorder="1" applyAlignment="1">
      <alignment vertical="center" wrapText="1"/>
    </xf>
    <xf numFmtId="0" fontId="19" fillId="0" borderId="21" xfId="0" applyFont="1" applyBorder="1" applyAlignment="1">
      <alignmen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1" fillId="0" borderId="2" xfId="0" applyFont="1" applyBorder="1" applyAlignment="1">
      <alignment horizontal="center" vertical="center"/>
    </xf>
    <xf numFmtId="0" fontId="6" fillId="0" borderId="2" xfId="0" applyFont="1" applyBorder="1" applyAlignment="1">
      <alignment horizontal="center" vertical="center"/>
    </xf>
  </cellXfs>
  <cellStyles count="123">
    <cellStyle name="20% - 强调文字颜色 1 2" xfId="1" xr:uid="{00000000-0005-0000-0000-000002000000}"/>
    <cellStyle name="20% - 强调文字颜色 1 2 2" xfId="22" xr:uid="{00000000-0005-0000-0000-000045000000}"/>
    <cellStyle name="20% - 强调文字颜色 2 2" xfId="23" xr:uid="{00000000-0005-0000-0000-000046000000}"/>
    <cellStyle name="20% - 强调文字颜色 2 2 2" xfId="6" xr:uid="{00000000-0005-0000-0000-000010000000}"/>
    <cellStyle name="20% - 强调文字颜色 3 2" xfId="21" xr:uid="{00000000-0005-0000-0000-000044000000}"/>
    <cellStyle name="20% - 强调文字颜色 3 2 2" xfId="4" xr:uid="{00000000-0005-0000-0000-00000C000000}"/>
    <cellStyle name="20% - 强调文字颜色 4 2" xfId="25" xr:uid="{00000000-0005-0000-0000-000048000000}"/>
    <cellStyle name="20% - 强调文字颜色 4 2 2" xfId="20" xr:uid="{00000000-0005-0000-0000-000043000000}"/>
    <cellStyle name="20% - 强调文字颜色 5 2" xfId="27" xr:uid="{00000000-0005-0000-0000-00004A000000}"/>
    <cellStyle name="20% - 强调文字颜色 5 2 2" xfId="28" xr:uid="{00000000-0005-0000-0000-00004B000000}"/>
    <cellStyle name="20% - 强调文字颜色 6 2" xfId="29" xr:uid="{00000000-0005-0000-0000-00004C000000}"/>
    <cellStyle name="20% - 强调文字颜色 6 2 2" xfId="30" xr:uid="{00000000-0005-0000-0000-00004D000000}"/>
    <cellStyle name="20%-个性色1" xfId="13" xr:uid="{00000000-0005-0000-0000-000024000000}"/>
    <cellStyle name="20%-个性色2" xfId="16" xr:uid="{00000000-0005-0000-0000-00002D000000}"/>
    <cellStyle name="20%-个性色3" xfId="31" xr:uid="{00000000-0005-0000-0000-00004E000000}"/>
    <cellStyle name="20%-个性色4" xfId="33" xr:uid="{00000000-0005-0000-0000-000050000000}"/>
    <cellStyle name="20%-个性色5" xfId="35" xr:uid="{00000000-0005-0000-0000-000052000000}"/>
    <cellStyle name="20%-个性色6" xfId="38" xr:uid="{00000000-0005-0000-0000-000055000000}"/>
    <cellStyle name="40% - 强调文字颜色 1 2" xfId="40" xr:uid="{00000000-0005-0000-0000-000057000000}"/>
    <cellStyle name="40% - 强调文字颜色 1 2 2" xfId="36" xr:uid="{00000000-0005-0000-0000-000053000000}"/>
    <cellStyle name="40% - 强调文字颜色 2 2" xfId="41" xr:uid="{00000000-0005-0000-0000-000058000000}"/>
    <cellStyle name="40% - 强调文字颜色 2 2 2" xfId="42" xr:uid="{00000000-0005-0000-0000-000059000000}"/>
    <cellStyle name="40% - 强调文字颜色 3 2" xfId="43" xr:uid="{00000000-0005-0000-0000-00005A000000}"/>
    <cellStyle name="40% - 强调文字颜色 3 2 2" xfId="45" xr:uid="{00000000-0005-0000-0000-00005C000000}"/>
    <cellStyle name="40% - 强调文字颜色 4 2" xfId="14" xr:uid="{00000000-0005-0000-0000-000027000000}"/>
    <cellStyle name="40% - 强调文字颜色 4 2 2" xfId="46" xr:uid="{00000000-0005-0000-0000-00005D000000}"/>
    <cellStyle name="40% - 强调文字颜色 5 2" xfId="48" xr:uid="{00000000-0005-0000-0000-00005F000000}"/>
    <cellStyle name="40% - 强调文字颜色 5 2 2" xfId="49" xr:uid="{00000000-0005-0000-0000-000060000000}"/>
    <cellStyle name="40% - 强调文字颜色 6 2" xfId="50" xr:uid="{00000000-0005-0000-0000-000061000000}"/>
    <cellStyle name="40% - 强调文字颜色 6 2 2" xfId="52" xr:uid="{00000000-0005-0000-0000-000063000000}"/>
    <cellStyle name="40%-个性色1" xfId="11" xr:uid="{00000000-0005-0000-0000-00001F000000}"/>
    <cellStyle name="40%-个性色2" xfId="8" xr:uid="{00000000-0005-0000-0000-000015000000}"/>
    <cellStyle name="40%-个性色3" xfId="53" xr:uid="{00000000-0005-0000-0000-000064000000}"/>
    <cellStyle name="40%-个性色4" xfId="55" xr:uid="{00000000-0005-0000-0000-000066000000}"/>
    <cellStyle name="40%-个性色5" xfId="56" xr:uid="{00000000-0005-0000-0000-000067000000}"/>
    <cellStyle name="40%-个性色6" xfId="57" xr:uid="{00000000-0005-0000-0000-000068000000}"/>
    <cellStyle name="60% - 强调文字颜色 1 2" xfId="58" xr:uid="{00000000-0005-0000-0000-000069000000}"/>
    <cellStyle name="60% - 强调文字颜色 1 2 2" xfId="59" xr:uid="{00000000-0005-0000-0000-00006A000000}"/>
    <cellStyle name="60% - 强调文字颜色 2 2" xfId="61" xr:uid="{00000000-0005-0000-0000-00006C000000}"/>
    <cellStyle name="60% - 强调文字颜色 2 2 2" xfId="9" xr:uid="{00000000-0005-0000-0000-000019000000}"/>
    <cellStyle name="60% - 强调文字颜色 3 2" xfId="63" xr:uid="{00000000-0005-0000-0000-00006E000000}"/>
    <cellStyle name="60% - 强调文字颜色 3 2 2" xfId="64" xr:uid="{00000000-0005-0000-0000-00006F000000}"/>
    <cellStyle name="60% - 强调文字颜色 4 2" xfId="65" xr:uid="{00000000-0005-0000-0000-000070000000}"/>
    <cellStyle name="60% - 强调文字颜色 4 2 2" xfId="66" xr:uid="{00000000-0005-0000-0000-000071000000}"/>
    <cellStyle name="60% - 强调文字颜色 5 2" xfId="67" xr:uid="{00000000-0005-0000-0000-000072000000}"/>
    <cellStyle name="60% - 强调文字颜色 5 2 2" xfId="68" xr:uid="{00000000-0005-0000-0000-000073000000}"/>
    <cellStyle name="60% - 强调文字颜色 6 2" xfId="69" xr:uid="{00000000-0005-0000-0000-000074000000}"/>
    <cellStyle name="60% - 强调文字颜色 6 2 2" xfId="70" xr:uid="{00000000-0005-0000-0000-000075000000}"/>
    <cellStyle name="60%-个性色1" xfId="71" xr:uid="{00000000-0005-0000-0000-000076000000}"/>
    <cellStyle name="60%-个性色2" xfId="72" xr:uid="{00000000-0005-0000-0000-000077000000}"/>
    <cellStyle name="60%-个性色3" xfId="73" xr:uid="{00000000-0005-0000-0000-000078000000}"/>
    <cellStyle name="60%-个性色4" xfId="10" xr:uid="{00000000-0005-0000-0000-00001B000000}"/>
    <cellStyle name="60%-个性色5" xfId="74" xr:uid="{00000000-0005-0000-0000-000079000000}"/>
    <cellStyle name="60%-个性色6" xfId="75" xr:uid="{00000000-0005-0000-0000-00007A000000}"/>
    <cellStyle name="Normal" xfId="0" builtinId="0"/>
    <cellStyle name="Percent" xfId="5" builtinId="5"/>
    <cellStyle name="个性色1" xfId="12" xr:uid="{00000000-0005-0000-0000-000023000000}"/>
    <cellStyle name="个性色2" xfId="15" xr:uid="{00000000-0005-0000-0000-00002C000000}"/>
    <cellStyle name="个性色3" xfId="32" xr:uid="{00000000-0005-0000-0000-00004F000000}"/>
    <cellStyle name="个性色4" xfId="34" xr:uid="{00000000-0005-0000-0000-000051000000}"/>
    <cellStyle name="个性色5" xfId="37" xr:uid="{00000000-0005-0000-0000-000054000000}"/>
    <cellStyle name="个性色6" xfId="39" xr:uid="{00000000-0005-0000-0000-000056000000}"/>
    <cellStyle name="好 2" xfId="76" xr:uid="{00000000-0005-0000-0000-00007B000000}"/>
    <cellStyle name="好 2 2" xfId="77" xr:uid="{00000000-0005-0000-0000-00007C000000}"/>
    <cellStyle name="差 2" xfId="78" xr:uid="{00000000-0005-0000-0000-00007D000000}"/>
    <cellStyle name="差 2 2" xfId="79" xr:uid="{00000000-0005-0000-0000-00007E000000}"/>
    <cellStyle name="常规 2" xfId="80" xr:uid="{00000000-0005-0000-0000-00007F000000}"/>
    <cellStyle name="常规 2 2" xfId="81" xr:uid="{00000000-0005-0000-0000-000080000000}"/>
    <cellStyle name="常规 3" xfId="26" xr:uid="{00000000-0005-0000-0000-000049000000}"/>
    <cellStyle name="常规 30" xfId="82" xr:uid="{00000000-0005-0000-0000-000081000000}"/>
    <cellStyle name="常规 4 2" xfId="83" xr:uid="{00000000-0005-0000-0000-000082000000}"/>
    <cellStyle name="常规 4 2 2" xfId="84" xr:uid="{00000000-0005-0000-0000-000083000000}"/>
    <cellStyle name="常规 5" xfId="62" xr:uid="{00000000-0005-0000-0000-00006D000000}"/>
    <cellStyle name="常规_交校食堂投资估算" xfId="85" xr:uid="{00000000-0005-0000-0000-000084000000}"/>
    <cellStyle name="强调文字颜色 1 2" xfId="86" xr:uid="{00000000-0005-0000-0000-000085000000}"/>
    <cellStyle name="强调文字颜色 1 2 2" xfId="87" xr:uid="{00000000-0005-0000-0000-000086000000}"/>
    <cellStyle name="强调文字颜色 2 2" xfId="88" xr:uid="{00000000-0005-0000-0000-000087000000}"/>
    <cellStyle name="强调文字颜色 2 2 2" xfId="89" xr:uid="{00000000-0005-0000-0000-000088000000}"/>
    <cellStyle name="强调文字颜色 3 2" xfId="90" xr:uid="{00000000-0005-0000-0000-000089000000}"/>
    <cellStyle name="强调文字颜色 3 2 2" xfId="91" xr:uid="{00000000-0005-0000-0000-00008A000000}"/>
    <cellStyle name="强调文字颜色 4 2" xfId="92" xr:uid="{00000000-0005-0000-0000-00008B000000}"/>
    <cellStyle name="强调文字颜色 4 2 2" xfId="93" xr:uid="{00000000-0005-0000-0000-00008C000000}"/>
    <cellStyle name="强调文字颜色 5 2" xfId="94" xr:uid="{00000000-0005-0000-0000-00008D000000}"/>
    <cellStyle name="强调文字颜色 5 2 2" xfId="95" xr:uid="{00000000-0005-0000-0000-00008E000000}"/>
    <cellStyle name="强调文字颜色 6 2" xfId="96" xr:uid="{00000000-0005-0000-0000-00008F000000}"/>
    <cellStyle name="强调文字颜色 6 2 2" xfId="97" xr:uid="{00000000-0005-0000-0000-000090000000}"/>
    <cellStyle name="普通_活用表_亿元表" xfId="98" xr:uid="{00000000-0005-0000-0000-000091000000}"/>
    <cellStyle name="标题 1 2" xfId="99" xr:uid="{00000000-0005-0000-0000-000092000000}"/>
    <cellStyle name="标题 1 2 2" xfId="100" xr:uid="{00000000-0005-0000-0000-000093000000}"/>
    <cellStyle name="标题 2 2" xfId="101" xr:uid="{00000000-0005-0000-0000-000094000000}"/>
    <cellStyle name="标题 2 2 2" xfId="102" xr:uid="{00000000-0005-0000-0000-000095000000}"/>
    <cellStyle name="标题 3 2" xfId="103" xr:uid="{00000000-0005-0000-0000-000096000000}"/>
    <cellStyle name="标题 3 2 2" xfId="104" xr:uid="{00000000-0005-0000-0000-000097000000}"/>
    <cellStyle name="标题 4 2" xfId="105" xr:uid="{00000000-0005-0000-0000-000098000000}"/>
    <cellStyle name="标题 4 2 2" xfId="106" xr:uid="{00000000-0005-0000-0000-000099000000}"/>
    <cellStyle name="标题 5" xfId="54" xr:uid="{00000000-0005-0000-0000-000065000000}"/>
    <cellStyle name="标题 5 2" xfId="107" xr:uid="{00000000-0005-0000-0000-00009A000000}"/>
    <cellStyle name="检查单元格 2" xfId="47" xr:uid="{00000000-0005-0000-0000-00005E000000}"/>
    <cellStyle name="检查单元格 2 2" xfId="108" xr:uid="{00000000-0005-0000-0000-00009B000000}"/>
    <cellStyle name="汇总 2" xfId="109" xr:uid="{00000000-0005-0000-0000-00009C000000}"/>
    <cellStyle name="汇总 2 2" xfId="110" xr:uid="{00000000-0005-0000-0000-00009D000000}"/>
    <cellStyle name="注释 2" xfId="111" xr:uid="{00000000-0005-0000-0000-00009E000000}"/>
    <cellStyle name="注释 2 2" xfId="112" xr:uid="{00000000-0005-0000-0000-00009F000000}"/>
    <cellStyle name="着色 1 2" xfId="113" xr:uid="{00000000-0005-0000-0000-0000A0000000}"/>
    <cellStyle name="着色 2 2" xfId="114" xr:uid="{00000000-0005-0000-0000-0000A1000000}"/>
    <cellStyle name="着色 3 2" xfId="115" xr:uid="{00000000-0005-0000-0000-0000A2000000}"/>
    <cellStyle name="着色 4 2" xfId="3" xr:uid="{00000000-0005-0000-0000-00000B000000}"/>
    <cellStyle name="着色 5 2" xfId="18" xr:uid="{00000000-0005-0000-0000-00003F000000}"/>
    <cellStyle name="着色 6 2" xfId="60" xr:uid="{00000000-0005-0000-0000-00006B000000}"/>
    <cellStyle name="解释性文本 2" xfId="116" xr:uid="{00000000-0005-0000-0000-0000A3000000}"/>
    <cellStyle name="解释性文本 2 2" xfId="7" xr:uid="{00000000-0005-0000-0000-000014000000}"/>
    <cellStyle name="警告文本 2" xfId="117" xr:uid="{00000000-0005-0000-0000-0000A4000000}"/>
    <cellStyle name="警告文本 2 2" xfId="118" xr:uid="{00000000-0005-0000-0000-0000A5000000}"/>
    <cellStyle name="计算 2" xfId="2" xr:uid="{00000000-0005-0000-0000-000008000000}"/>
    <cellStyle name="计算 2 2" xfId="44" xr:uid="{00000000-0005-0000-0000-00005B000000}"/>
    <cellStyle name="输入 2" xfId="119" xr:uid="{00000000-0005-0000-0000-0000A6000000}"/>
    <cellStyle name="输入 2 2" xfId="120" xr:uid="{00000000-0005-0000-0000-0000A7000000}"/>
    <cellStyle name="输出 2" xfId="17" xr:uid="{00000000-0005-0000-0000-000035000000}"/>
    <cellStyle name="输出 2 2" xfId="24" xr:uid="{00000000-0005-0000-0000-000047000000}"/>
    <cellStyle name="适中 2" xfId="19" xr:uid="{00000000-0005-0000-0000-000040000000}"/>
    <cellStyle name="适中 2 2" xfId="51" xr:uid="{00000000-0005-0000-0000-000062000000}"/>
    <cellStyle name="链接单元格 2" xfId="121" xr:uid="{00000000-0005-0000-0000-0000A8000000}"/>
    <cellStyle name="链接单元格 2 2" xfId="122" xr:uid="{00000000-0005-0000-0000-0000A9000000}"/>
  </cellStyles>
  <dxfs count="7">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99FF"/>
      <color rgb="FFFFCCFF"/>
      <color rgb="FF99CCFF"/>
      <color rgb="FFFF9999"/>
      <color rgb="FF99FF66"/>
      <color rgb="FF66FFCC"/>
      <color rgb="FFFF66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5;&#19994;&#24494;&#20449;/WXWork/1688852897272178/Cache/File/2025-03/&#20122;&#25237;&#34892;&#36151;&#27454;&#28246;&#21271;&#22269;&#38469;&#33322;&#31354;&#36135;&#36816;&#39033;&#30446;&#27010;&#31639;&#27719;&#24635;&#34920;20250114&#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0122;&#25237;&#34892;&#39033;&#30446;\&#39033;&#30446;&#20132;&#20184;&#25112;&#30053;&#12289;&#37319;&#36141;&#35745;&#21010;&#12289;&#24635;&#37319;&#36141;&#36890;&#21578;\20250102\&#20122;&#25237;&#34892;&#37122;&#24030;&#39033;&#30446;&#37319;&#36141;&#35745;&#21010;&#20013;&#25991;(202404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2023.11--&#20135;&#20551;&#21069;&#22791;&#20221;\202009--&#37122;&#24030;&#32508;&#20445;&#21306;--&#21475;&#23736;&#20316;&#19994;&#21306;\20220923--&#32508;&#21512;&#20445;&#31246;&#21306;&#25511;&#35268;--&#32422;2.59&#24179;&#26041;&#20844;&#37324;\20230815--&#26045;&#24037;&#22270;&#28145;&#21270;&#35774;&#35745;\20230917--&#28023;&#20851;&#35774;&#22791;&#25307;&#26631;&#28165;&#21333;&#27719;&#25253;\20230815&#37122;&#24030;&#31354;&#28207;&#21475;&#23736;&#20316;&#19994;&#21306;&#39033;&#30446;&#27010;&#31639;&#65288;&#35843;&#25972;&#21033;&#2468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1"/>
      <sheetName val="封面2"/>
      <sheetName val="签字表"/>
      <sheetName val="目录"/>
      <sheetName val="编制说明"/>
      <sheetName val="总概算表"/>
      <sheetName val="其他费用"/>
      <sheetName val="综合概算表"/>
      <sheetName val="设计费（不打印）"/>
      <sheetName val="分年投入"/>
      <sheetName val="海关信息化"/>
      <sheetName val="1.1海关智能卡口系统"/>
      <sheetName val="1.2海关视频监控系统"/>
      <sheetName val="1.3周界围网报警系统"/>
      <sheetName val="2.1海关信息发布系统"/>
      <sheetName val="2.2海关门禁控制系统"/>
      <sheetName val="2.3海关UPS系统"/>
      <sheetName val="2.4海关综合布线系统"/>
      <sheetName val="3.1园区车辆运行轨迹可视化系统"/>
      <sheetName val="4.1海关机房设施设备"/>
      <sheetName val="4.2海关运控中心"/>
      <sheetName val="4.3海关会议系统"/>
      <sheetName val="5.1海关网络系统"/>
      <sheetName val="5.2海关信息安全系统"/>
      <sheetName val="6.1全景展示平台"/>
      <sheetName val="6.2保税综合服务系统"/>
      <sheetName val="6.3跨境电商综合服务系统"/>
      <sheetName val="6.4口岸监管场所货站管理系统"/>
      <sheetName val="查验中心设备"/>
      <sheetName val="初步设计概算对比表"/>
      <sheetName val="造价分析"/>
      <sheetName val="可研估算"/>
      <sheetName val="对比表 (2)"/>
      <sheetName val="可研与概算对比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53">
          <cell r="F353">
            <v>11817.4355</v>
          </cell>
        </row>
        <row r="451">
          <cell r="F451">
            <v>18142.150000000001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采购计划20240417"/>
      <sheetName val="单体技术指标"/>
      <sheetName val="总投资-发采购-0411-GLP拆分场外费用(司调)"/>
      <sheetName val="总投资-发采购-0411-GLP拆分场外费用 (原)"/>
      <sheetName val="采购计划20240411"/>
      <sheetName val="总投资20240410"/>
      <sheetName val="Sheet3"/>
    </sheetNames>
    <sheetDataSet>
      <sheetData sheetId="0" refreshError="1"/>
      <sheetData sheetId="1" refreshError="1"/>
      <sheetData sheetId="2" refreshError="1">
        <row r="7">
          <cell r="G7">
            <v>5931.3338184221402</v>
          </cell>
        </row>
        <row r="8">
          <cell r="G8">
            <v>4137.5599067698404</v>
          </cell>
        </row>
        <row r="9">
          <cell r="G9">
            <v>13.96608</v>
          </cell>
        </row>
        <row r="10">
          <cell r="G10">
            <v>125.69472</v>
          </cell>
        </row>
        <row r="11">
          <cell r="G11">
            <v>97.762559999999993</v>
          </cell>
        </row>
        <row r="12">
          <cell r="G12">
            <v>216.47424000000001</v>
          </cell>
        </row>
        <row r="13">
          <cell r="G13">
            <v>59.652501722990401</v>
          </cell>
        </row>
        <row r="14">
          <cell r="G14">
            <v>218.22</v>
          </cell>
        </row>
        <row r="15">
          <cell r="G15">
            <v>1024.0038099293099</v>
          </cell>
        </row>
        <row r="16">
          <cell r="G16">
            <v>38</v>
          </cell>
        </row>
        <row r="17">
          <cell r="G17">
            <v>1</v>
          </cell>
        </row>
        <row r="18">
          <cell r="G18">
            <v>4</v>
          </cell>
        </row>
        <row r="19">
          <cell r="G19">
            <v>33</v>
          </cell>
        </row>
        <row r="20">
          <cell r="G20">
            <v>481.61950000000002</v>
          </cell>
        </row>
        <row r="21">
          <cell r="G21">
            <v>3.3214999999999999</v>
          </cell>
        </row>
        <row r="22">
          <cell r="G22">
            <v>455.52</v>
          </cell>
        </row>
        <row r="23">
          <cell r="G23">
            <v>2.847</v>
          </cell>
        </row>
        <row r="24">
          <cell r="G24">
            <v>3.7959999999999998</v>
          </cell>
        </row>
        <row r="25">
          <cell r="G25">
            <v>8.5410000000000004</v>
          </cell>
        </row>
        <row r="26">
          <cell r="G26">
            <v>5.694</v>
          </cell>
        </row>
        <row r="27">
          <cell r="G27">
            <v>1.9</v>
          </cell>
        </row>
        <row r="28">
          <cell r="G28">
            <v>463.8</v>
          </cell>
        </row>
        <row r="30">
          <cell r="G30">
            <v>5921.3918794486299</v>
          </cell>
        </row>
        <row r="31">
          <cell r="G31">
            <v>3574</v>
          </cell>
        </row>
        <row r="32">
          <cell r="G32">
            <v>18.29888</v>
          </cell>
        </row>
        <row r="33">
          <cell r="G33">
            <v>164.68992</v>
          </cell>
        </row>
        <row r="34">
          <cell r="G34">
            <v>128.09216000000001</v>
          </cell>
        </row>
        <row r="35">
          <cell r="G35">
            <v>283.63263999999998</v>
          </cell>
        </row>
        <row r="36">
          <cell r="G36">
            <v>78.158937277231303</v>
          </cell>
        </row>
        <row r="37">
          <cell r="G37">
            <v>571.84</v>
          </cell>
        </row>
        <row r="38">
          <cell r="G38">
            <v>1036.6793421714001</v>
          </cell>
        </row>
        <row r="39">
          <cell r="G39">
            <v>66</v>
          </cell>
        </row>
        <row r="40">
          <cell r="G40">
            <v>2</v>
          </cell>
        </row>
        <row r="41">
          <cell r="G41">
            <v>11</v>
          </cell>
        </row>
        <row r="42">
          <cell r="G42">
            <v>53</v>
          </cell>
        </row>
        <row r="43">
          <cell r="G43">
            <v>5952.1708779011697</v>
          </cell>
        </row>
        <row r="44">
          <cell r="G44">
            <v>3574</v>
          </cell>
        </row>
        <row r="45">
          <cell r="G45">
            <v>18.29888</v>
          </cell>
        </row>
        <row r="46">
          <cell r="G46">
            <v>164.68992</v>
          </cell>
        </row>
        <row r="47">
          <cell r="G47">
            <v>128.09216000000001</v>
          </cell>
        </row>
        <row r="48">
          <cell r="G48">
            <v>283.63263999999998</v>
          </cell>
        </row>
        <row r="49">
          <cell r="G49">
            <v>78.158937277231303</v>
          </cell>
        </row>
        <row r="50">
          <cell r="G50">
            <v>571.84</v>
          </cell>
        </row>
        <row r="51">
          <cell r="G51">
            <v>1068.4583406239401</v>
          </cell>
        </row>
        <row r="52">
          <cell r="G52">
            <v>65</v>
          </cell>
        </row>
        <row r="53">
          <cell r="G53">
            <v>1</v>
          </cell>
        </row>
        <row r="54">
          <cell r="G54">
            <v>11</v>
          </cell>
        </row>
        <row r="55">
          <cell r="G55">
            <v>53</v>
          </cell>
        </row>
        <row r="56">
          <cell r="G56">
            <v>5747.9617310399199</v>
          </cell>
        </row>
        <row r="57">
          <cell r="G57">
            <v>3574</v>
          </cell>
        </row>
        <row r="58">
          <cell r="G58">
            <v>18.29888</v>
          </cell>
        </row>
        <row r="59">
          <cell r="G59">
            <v>164.68992</v>
          </cell>
        </row>
        <row r="60">
          <cell r="G60">
            <v>128.09216000000001</v>
          </cell>
        </row>
        <row r="61">
          <cell r="G61">
            <v>283.63263999999998</v>
          </cell>
        </row>
        <row r="62">
          <cell r="G62">
            <v>78.158937277231303</v>
          </cell>
        </row>
        <row r="63">
          <cell r="G63">
            <v>571.84</v>
          </cell>
        </row>
        <row r="64">
          <cell r="G64">
            <v>864.24919376268497</v>
          </cell>
        </row>
        <row r="65">
          <cell r="G65">
            <v>65</v>
          </cell>
        </row>
        <row r="66">
          <cell r="G66">
            <v>1</v>
          </cell>
        </row>
        <row r="67">
          <cell r="G67">
            <v>11</v>
          </cell>
        </row>
        <row r="68">
          <cell r="G68">
            <v>53</v>
          </cell>
        </row>
        <row r="69">
          <cell r="G69">
            <v>5776.8425281711698</v>
          </cell>
        </row>
        <row r="70">
          <cell r="G70">
            <v>3574</v>
          </cell>
        </row>
        <row r="71">
          <cell r="G71">
            <v>18.29888</v>
          </cell>
        </row>
        <row r="72">
          <cell r="G72">
            <v>164.68992</v>
          </cell>
        </row>
        <row r="73">
          <cell r="G73">
            <v>128.09216000000001</v>
          </cell>
        </row>
        <row r="74">
          <cell r="G74">
            <v>283.63263999999998</v>
          </cell>
        </row>
        <row r="75">
          <cell r="G75">
            <v>78.158937277231303</v>
          </cell>
        </row>
        <row r="76">
          <cell r="G76">
            <v>571.84</v>
          </cell>
        </row>
        <row r="77">
          <cell r="G77">
            <v>893.12999089393804</v>
          </cell>
        </row>
        <row r="78">
          <cell r="G78">
            <v>65</v>
          </cell>
        </row>
        <row r="79">
          <cell r="G79">
            <v>1</v>
          </cell>
        </row>
        <row r="80">
          <cell r="G80">
            <v>11</v>
          </cell>
        </row>
        <row r="81">
          <cell r="G81">
            <v>53</v>
          </cell>
        </row>
        <row r="82">
          <cell r="G82">
            <v>13277.6976990773</v>
          </cell>
        </row>
        <row r="83">
          <cell r="G83">
            <v>9630.4162214578791</v>
          </cell>
        </row>
        <row r="84">
          <cell r="G84">
            <v>32.506880000000002</v>
          </cell>
        </row>
        <row r="85">
          <cell r="G85">
            <v>292.56191999999999</v>
          </cell>
        </row>
        <row r="86">
          <cell r="G86">
            <v>227.54816</v>
          </cell>
        </row>
        <row r="87">
          <cell r="G87">
            <v>503.85664000000003</v>
          </cell>
        </row>
        <row r="88">
          <cell r="G88">
            <v>138.84473776528901</v>
          </cell>
        </row>
        <row r="89">
          <cell r="G89">
            <v>507.92</v>
          </cell>
        </row>
        <row r="90">
          <cell r="G90">
            <v>1881.04313985413</v>
          </cell>
        </row>
        <row r="91">
          <cell r="G91">
            <v>63</v>
          </cell>
        </row>
        <row r="92">
          <cell r="G92">
            <v>1</v>
          </cell>
        </row>
        <row r="93">
          <cell r="G93">
            <v>11</v>
          </cell>
        </row>
        <row r="94">
          <cell r="G94">
            <v>51</v>
          </cell>
        </row>
        <row r="95">
          <cell r="G95">
            <v>13789.8726650923</v>
          </cell>
        </row>
        <row r="96">
          <cell r="G96">
            <v>10541.2785526889</v>
          </cell>
        </row>
        <row r="97">
          <cell r="G97">
            <v>35.581440000000001</v>
          </cell>
        </row>
        <row r="98">
          <cell r="G98">
            <v>320.23295999999999</v>
          </cell>
        </row>
        <row r="99">
          <cell r="G99">
            <v>249.07007999999999</v>
          </cell>
        </row>
        <row r="100">
          <cell r="G100">
            <v>551.51232000000005</v>
          </cell>
        </row>
        <row r="101">
          <cell r="G101">
            <v>151.97692630333501</v>
          </cell>
        </row>
        <row r="102">
          <cell r="G102">
            <v>555.96</v>
          </cell>
        </row>
        <row r="103">
          <cell r="G103">
            <v>1319.26038610009</v>
          </cell>
        </row>
        <row r="104">
          <cell r="G104">
            <v>65</v>
          </cell>
        </row>
        <row r="105">
          <cell r="G105">
            <v>1</v>
          </cell>
        </row>
        <row r="106">
          <cell r="G106">
            <v>11</v>
          </cell>
        </row>
        <row r="107">
          <cell r="G107">
            <v>53</v>
          </cell>
        </row>
        <row r="108">
          <cell r="G108">
            <v>15502.4051499249</v>
          </cell>
        </row>
        <row r="109">
          <cell r="G109">
            <v>12124.859358359399</v>
          </cell>
        </row>
        <row r="110">
          <cell r="G110">
            <v>40.926720000000003</v>
          </cell>
        </row>
        <row r="111">
          <cell r="G111">
            <v>368.34048000000001</v>
          </cell>
        </row>
        <row r="112">
          <cell r="G112">
            <v>286.48703999999998</v>
          </cell>
        </row>
        <row r="113">
          <cell r="G113">
            <v>634.36415999999997</v>
          </cell>
        </row>
        <row r="114">
          <cell r="G114">
            <v>174.807908541004</v>
          </cell>
        </row>
        <row r="115">
          <cell r="G115">
            <v>639.48</v>
          </cell>
        </row>
        <row r="116">
          <cell r="G116">
            <v>1161.1394830245599</v>
          </cell>
        </row>
        <row r="117">
          <cell r="G117">
            <v>72</v>
          </cell>
        </row>
        <row r="118">
          <cell r="G118">
            <v>1</v>
          </cell>
        </row>
        <row r="119">
          <cell r="G119">
            <v>13</v>
          </cell>
        </row>
        <row r="120">
          <cell r="G120">
            <v>58</v>
          </cell>
        </row>
        <row r="121">
          <cell r="G121">
            <v>15296.8552463777</v>
          </cell>
        </row>
        <row r="122">
          <cell r="G122">
            <v>12124.859358359399</v>
          </cell>
        </row>
        <row r="123">
          <cell r="G123">
            <v>40.926720000000003</v>
          </cell>
        </row>
        <row r="124">
          <cell r="G124">
            <v>368.34048000000001</v>
          </cell>
        </row>
        <row r="125">
          <cell r="G125">
            <v>286.48703999999998</v>
          </cell>
        </row>
        <row r="126">
          <cell r="G126">
            <v>634.36415999999997</v>
          </cell>
        </row>
        <row r="127">
          <cell r="G127">
            <v>174.807908541004</v>
          </cell>
        </row>
        <row r="128">
          <cell r="G128">
            <v>639.48</v>
          </cell>
        </row>
        <row r="129">
          <cell r="G129">
            <v>955.589579477293</v>
          </cell>
        </row>
        <row r="130">
          <cell r="G130">
            <v>72</v>
          </cell>
        </row>
        <row r="131">
          <cell r="G131">
            <v>1</v>
          </cell>
        </row>
        <row r="132">
          <cell r="G132">
            <v>13</v>
          </cell>
        </row>
        <row r="133">
          <cell r="G133">
            <v>58</v>
          </cell>
        </row>
        <row r="134">
          <cell r="G134">
            <v>15098.998477818201</v>
          </cell>
        </row>
        <row r="135">
          <cell r="G135">
            <v>12124.859358359399</v>
          </cell>
        </row>
        <row r="136">
          <cell r="G136">
            <v>40.926720000000003</v>
          </cell>
        </row>
        <row r="137">
          <cell r="G137">
            <v>368.34048000000001</v>
          </cell>
        </row>
        <row r="138">
          <cell r="G138">
            <v>286.48703999999998</v>
          </cell>
        </row>
        <row r="139">
          <cell r="G139">
            <v>634.36415999999997</v>
          </cell>
        </row>
        <row r="140">
          <cell r="G140">
            <v>174.807908541004</v>
          </cell>
        </row>
        <row r="141">
          <cell r="G141">
            <v>639.48</v>
          </cell>
        </row>
        <row r="142">
          <cell r="G142">
            <v>757.73281091787499</v>
          </cell>
        </row>
        <row r="143">
          <cell r="G143">
            <v>72</v>
          </cell>
        </row>
        <row r="144">
          <cell r="G144">
            <v>1</v>
          </cell>
        </row>
        <row r="145">
          <cell r="G145">
            <v>13</v>
          </cell>
        </row>
        <row r="146">
          <cell r="G146">
            <v>58</v>
          </cell>
        </row>
        <row r="147">
          <cell r="G147">
            <v>15276.624860273199</v>
          </cell>
        </row>
        <row r="148">
          <cell r="G148">
            <v>12124.859358359399</v>
          </cell>
        </row>
        <row r="149">
          <cell r="G149">
            <v>40.926720000000003</v>
          </cell>
        </row>
        <row r="150">
          <cell r="G150">
            <v>368.34048000000001</v>
          </cell>
        </row>
        <row r="151">
          <cell r="G151">
            <v>286.48703999999998</v>
          </cell>
        </row>
        <row r="152">
          <cell r="G152">
            <v>634.36415999999997</v>
          </cell>
        </row>
        <row r="153">
          <cell r="G153">
            <v>174.807908541004</v>
          </cell>
        </row>
        <row r="154">
          <cell r="G154">
            <v>639.48</v>
          </cell>
        </row>
        <row r="155">
          <cell r="G155">
            <v>935.35919337286396</v>
          </cell>
        </row>
        <row r="156">
          <cell r="G156">
            <v>72</v>
          </cell>
        </row>
        <row r="157">
          <cell r="G157">
            <v>1</v>
          </cell>
        </row>
        <row r="158">
          <cell r="G158">
            <v>13</v>
          </cell>
        </row>
        <row r="159">
          <cell r="G159">
            <v>58</v>
          </cell>
        </row>
        <row r="160">
          <cell r="G160">
            <v>17183.3026631424</v>
          </cell>
        </row>
        <row r="161">
          <cell r="G161">
            <v>13708.4401640299</v>
          </cell>
        </row>
        <row r="162">
          <cell r="G162">
            <v>46.271999999999998</v>
          </cell>
        </row>
        <row r="163">
          <cell r="G163">
            <v>416.44799999999998</v>
          </cell>
        </row>
        <row r="164">
          <cell r="G164">
            <v>323.904</v>
          </cell>
        </row>
        <row r="165">
          <cell r="G165">
            <v>717.21600000000001</v>
          </cell>
        </row>
        <row r="166">
          <cell r="G166">
            <v>197.63889077867299</v>
          </cell>
        </row>
        <row r="167">
          <cell r="G167">
            <v>723</v>
          </cell>
        </row>
        <row r="168">
          <cell r="G168">
            <v>972.38360833383695</v>
          </cell>
        </row>
        <row r="169">
          <cell r="G169">
            <v>78</v>
          </cell>
        </row>
        <row r="170">
          <cell r="G170">
            <v>1</v>
          </cell>
        </row>
        <row r="171">
          <cell r="G171">
            <v>14</v>
          </cell>
        </row>
        <row r="172">
          <cell r="G172">
            <v>63</v>
          </cell>
        </row>
        <row r="173">
          <cell r="G173">
            <v>11277.360138763701</v>
          </cell>
        </row>
        <row r="174">
          <cell r="G174">
            <v>8671.0150149573092</v>
          </cell>
        </row>
        <row r="175">
          <cell r="G175">
            <v>29.26848</v>
          </cell>
        </row>
        <row r="176">
          <cell r="G176">
            <v>263.41631999999998</v>
          </cell>
        </row>
        <row r="177">
          <cell r="G177">
            <v>204.87935999999999</v>
          </cell>
        </row>
        <row r="178">
          <cell r="G178">
            <v>453.66144000000003</v>
          </cell>
        </row>
        <row r="179">
          <cell r="G179">
            <v>125.01274900539801</v>
          </cell>
        </row>
        <row r="180">
          <cell r="G180">
            <v>457.32</v>
          </cell>
        </row>
        <row r="181">
          <cell r="G181">
            <v>1015.78677480099</v>
          </cell>
        </row>
        <row r="182">
          <cell r="G182">
            <v>57</v>
          </cell>
        </row>
        <row r="183">
          <cell r="G183">
            <v>1</v>
          </cell>
        </row>
        <row r="184">
          <cell r="G184">
            <v>9</v>
          </cell>
        </row>
        <row r="185">
          <cell r="G185">
            <v>47</v>
          </cell>
        </row>
        <row r="186">
          <cell r="G186">
            <v>10316.854456565699</v>
          </cell>
        </row>
        <row r="199">
          <cell r="G199">
            <v>9618.8799999999992</v>
          </cell>
        </row>
        <row r="200">
          <cell r="G200">
            <v>9330.3135999999995</v>
          </cell>
        </row>
        <row r="201">
          <cell r="G201">
            <v>288.56639999999999</v>
          </cell>
        </row>
        <row r="202">
          <cell r="G202">
            <v>4178.7488000000003</v>
          </cell>
        </row>
        <row r="203">
          <cell r="G203">
            <v>4053.386336</v>
          </cell>
        </row>
        <row r="204">
          <cell r="G204">
            <v>125.362464</v>
          </cell>
        </row>
        <row r="205">
          <cell r="G205">
            <v>467.90169600000002</v>
          </cell>
        </row>
        <row r="208">
          <cell r="G208">
            <v>621.58732799999996</v>
          </cell>
        </row>
        <row r="211">
          <cell r="G211">
            <v>621.58732799999996</v>
          </cell>
        </row>
        <row r="214">
          <cell r="G214">
            <v>325.98239999999998</v>
          </cell>
        </row>
        <row r="218">
          <cell r="G218">
            <v>1255.0463999999999</v>
          </cell>
        </row>
        <row r="223">
          <cell r="G223">
            <v>19952.8472401367</v>
          </cell>
        </row>
        <row r="224">
          <cell r="G224">
            <v>14787.06</v>
          </cell>
        </row>
        <row r="225">
          <cell r="G225">
            <v>98.580399999999997</v>
          </cell>
        </row>
        <row r="226">
          <cell r="G226">
            <v>571.76631999999995</v>
          </cell>
        </row>
        <row r="227">
          <cell r="G227">
            <v>453.46983999999998</v>
          </cell>
        </row>
        <row r="228">
          <cell r="G228">
            <v>552.05024000000003</v>
          </cell>
        </row>
        <row r="229">
          <cell r="G229">
            <v>157.72864000000001</v>
          </cell>
        </row>
        <row r="230">
          <cell r="G230">
            <v>788.64319999999998</v>
          </cell>
        </row>
        <row r="231">
          <cell r="G231">
            <v>2458.5486001366498</v>
          </cell>
        </row>
        <row r="232">
          <cell r="G232">
            <v>85</v>
          </cell>
        </row>
        <row r="233">
          <cell r="G233">
            <v>4</v>
          </cell>
        </row>
        <row r="234">
          <cell r="G234">
            <v>15</v>
          </cell>
        </row>
        <row r="235">
          <cell r="G235">
            <v>66</v>
          </cell>
        </row>
        <row r="236">
          <cell r="G236">
            <v>8098.2373475978802</v>
          </cell>
        </row>
        <row r="237">
          <cell r="G237">
            <v>4284.5</v>
          </cell>
        </row>
        <row r="238">
          <cell r="G238">
            <v>26.125</v>
          </cell>
        </row>
        <row r="239">
          <cell r="G239">
            <v>151.52500000000001</v>
          </cell>
        </row>
        <row r="240">
          <cell r="G240">
            <v>120.175</v>
          </cell>
        </row>
        <row r="241">
          <cell r="G241">
            <v>146.30000000000001</v>
          </cell>
        </row>
        <row r="242">
          <cell r="G242">
            <v>41.8</v>
          </cell>
        </row>
        <row r="243">
          <cell r="G243">
            <v>209</v>
          </cell>
        </row>
        <row r="244">
          <cell r="G244">
            <v>2754.81234759788</v>
          </cell>
        </row>
        <row r="245">
          <cell r="G245">
            <v>364</v>
          </cell>
        </row>
        <row r="246">
          <cell r="G246">
            <v>289</v>
          </cell>
        </row>
        <row r="247">
          <cell r="G247">
            <v>4</v>
          </cell>
        </row>
        <row r="248">
          <cell r="G248">
            <v>4</v>
          </cell>
        </row>
        <row r="249">
          <cell r="G249">
            <v>32</v>
          </cell>
        </row>
        <row r="250">
          <cell r="G250">
            <v>35</v>
          </cell>
        </row>
        <row r="251">
          <cell r="G251">
            <v>3364</v>
          </cell>
        </row>
        <row r="260">
          <cell r="G260">
            <v>172.37549999999999</v>
          </cell>
        </row>
        <row r="261">
          <cell r="G261">
            <v>162.65700000000001</v>
          </cell>
        </row>
        <row r="262">
          <cell r="G262">
            <v>432.38799999999998</v>
          </cell>
        </row>
        <row r="263">
          <cell r="G263">
            <v>432.38799999999998</v>
          </cell>
        </row>
        <row r="264">
          <cell r="G264">
            <v>432.38799999999998</v>
          </cell>
        </row>
        <row r="265">
          <cell r="G265">
            <v>432.38799999999998</v>
          </cell>
        </row>
        <row r="266">
          <cell r="G266">
            <v>432.38799999999998</v>
          </cell>
        </row>
        <row r="267">
          <cell r="G267">
            <v>498.88299999999998</v>
          </cell>
        </row>
        <row r="268">
          <cell r="G268">
            <v>498.88299999999998</v>
          </cell>
        </row>
        <row r="269">
          <cell r="G269">
            <v>498.88299999999998</v>
          </cell>
        </row>
        <row r="270">
          <cell r="G270">
            <v>498.88299999999998</v>
          </cell>
        </row>
        <row r="271">
          <cell r="G271">
            <v>356.34500000000003</v>
          </cell>
        </row>
        <row r="272">
          <cell r="G272">
            <v>308.77550000000002</v>
          </cell>
        </row>
        <row r="273">
          <cell r="G273">
            <v>565.54849999999999</v>
          </cell>
        </row>
        <row r="274">
          <cell r="G274">
            <v>767.59100000000001</v>
          </cell>
        </row>
        <row r="275">
          <cell r="G275">
            <v>532.13049999999998</v>
          </cell>
          <cell r="H275">
            <v>16128</v>
          </cell>
        </row>
        <row r="276">
          <cell r="G276">
            <v>619.25599999999997</v>
          </cell>
          <cell r="H276">
            <v>18768</v>
          </cell>
        </row>
        <row r="277">
          <cell r="G277">
            <v>619.25599999999997</v>
          </cell>
          <cell r="H277">
            <v>18768</v>
          </cell>
        </row>
        <row r="278">
          <cell r="G278">
            <v>565.54849999999999</v>
          </cell>
          <cell r="H278">
            <v>17136</v>
          </cell>
        </row>
        <row r="279">
          <cell r="G279">
            <v>565.54849999999999</v>
          </cell>
          <cell r="H279">
            <v>17136</v>
          </cell>
        </row>
        <row r="280">
          <cell r="G280">
            <v>332.64550000000003</v>
          </cell>
        </row>
        <row r="281">
          <cell r="G281">
            <v>363.67649999999998</v>
          </cell>
          <cell r="H281">
            <v>11022</v>
          </cell>
        </row>
        <row r="282">
          <cell r="G282">
            <v>386.1825</v>
          </cell>
          <cell r="H282">
            <v>11707</v>
          </cell>
        </row>
        <row r="283">
          <cell r="G283">
            <v>386.1825</v>
          </cell>
          <cell r="H283">
            <v>11707</v>
          </cell>
        </row>
        <row r="284">
          <cell r="G284">
            <v>386.1825</v>
          </cell>
          <cell r="H284">
            <v>11707</v>
          </cell>
        </row>
        <row r="285">
          <cell r="G285">
            <v>604.76350000000002</v>
          </cell>
          <cell r="H285">
            <v>18327</v>
          </cell>
        </row>
        <row r="286">
          <cell r="G286">
            <v>384.81849999999997</v>
          </cell>
          <cell r="H286">
            <v>11664</v>
          </cell>
        </row>
        <row r="287">
          <cell r="G287">
            <v>4000</v>
          </cell>
        </row>
        <row r="288">
          <cell r="G288">
            <v>18818.98</v>
          </cell>
        </row>
        <row r="289">
          <cell r="G289">
            <v>3355</v>
          </cell>
        </row>
        <row r="290">
          <cell r="G290">
            <v>920</v>
          </cell>
        </row>
        <row r="291">
          <cell r="G291">
            <v>3160</v>
          </cell>
        </row>
        <row r="292">
          <cell r="G292">
            <v>2100</v>
          </cell>
        </row>
        <row r="293">
          <cell r="G293">
            <v>341.9</v>
          </cell>
        </row>
        <row r="294">
          <cell r="G294">
            <v>656.15</v>
          </cell>
        </row>
        <row r="295">
          <cell r="G295">
            <v>355.67</v>
          </cell>
        </row>
        <row r="296">
          <cell r="G296">
            <v>211.46</v>
          </cell>
        </row>
        <row r="297">
          <cell r="G297">
            <v>33.6</v>
          </cell>
        </row>
        <row r="298">
          <cell r="G298">
            <v>333.3</v>
          </cell>
        </row>
        <row r="299">
          <cell r="G299">
            <v>7000</v>
          </cell>
        </row>
        <row r="300">
          <cell r="G300">
            <v>351.9</v>
          </cell>
        </row>
        <row r="301">
          <cell r="G301">
            <v>20000</v>
          </cell>
        </row>
        <row r="303">
          <cell r="G303">
            <v>2688.05</v>
          </cell>
        </row>
        <row r="304">
          <cell r="G304">
            <v>399.45</v>
          </cell>
        </row>
        <row r="305">
          <cell r="G305">
            <v>2145.6</v>
          </cell>
        </row>
        <row r="306">
          <cell r="G306">
            <v>143</v>
          </cell>
        </row>
        <row r="307">
          <cell r="G307">
            <v>6521.05</v>
          </cell>
        </row>
        <row r="308">
          <cell r="G308">
            <v>356.25</v>
          </cell>
        </row>
        <row r="309">
          <cell r="G309">
            <v>5956.8</v>
          </cell>
        </row>
        <row r="310">
          <cell r="G310">
            <v>208</v>
          </cell>
        </row>
        <row r="311">
          <cell r="G311">
            <v>1959.93</v>
          </cell>
        </row>
        <row r="312">
          <cell r="G312">
            <v>1959.93</v>
          </cell>
        </row>
        <row r="313">
          <cell r="G313">
            <v>3742.2</v>
          </cell>
        </row>
        <row r="314">
          <cell r="G314">
            <v>3742.2</v>
          </cell>
        </row>
        <row r="315">
          <cell r="G315">
            <v>4063.5</v>
          </cell>
        </row>
        <row r="316">
          <cell r="G316">
            <v>4063.5</v>
          </cell>
        </row>
        <row r="317">
          <cell r="G317">
            <v>1338.12</v>
          </cell>
        </row>
        <row r="318">
          <cell r="G318">
            <v>1338.12</v>
          </cell>
        </row>
        <row r="331">
          <cell r="G331">
            <v>761</v>
          </cell>
        </row>
        <row r="332">
          <cell r="G332">
            <v>116</v>
          </cell>
        </row>
        <row r="333">
          <cell r="G333">
            <v>1000</v>
          </cell>
        </row>
        <row r="334">
          <cell r="G334">
            <v>1000</v>
          </cell>
        </row>
        <row r="335">
          <cell r="G335">
            <v>1000</v>
          </cell>
        </row>
      </sheetData>
      <sheetData sheetId="3" refreshError="1"/>
      <sheetData sheetId="4" refreshError="1"/>
      <sheetData sheetId="5" refreshError="1">
        <row r="327">
          <cell r="F327">
            <v>12236.96</v>
          </cell>
        </row>
        <row r="355">
          <cell r="F355">
            <v>4000</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1)"/>
      <sheetName val="封面 (2)"/>
      <sheetName val="签字表（3）"/>
      <sheetName val="目录"/>
      <sheetName val="编制说明"/>
      <sheetName val="总概算表"/>
      <sheetName val="其他费用"/>
      <sheetName val="综合概算表（建安工程）"/>
      <sheetName val="工艺设备"/>
      <sheetName val="投资对比"/>
      <sheetName val="设计费计算（不打印）"/>
      <sheetName val="对比表"/>
      <sheetName val="综合概算表（建安工程）20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0">
          <cell r="J10">
            <v>7000</v>
          </cell>
        </row>
        <row r="42">
          <cell r="M42">
            <v>1375.5</v>
          </cell>
        </row>
        <row r="54">
          <cell r="J54">
            <v>1118.5</v>
          </cell>
        </row>
        <row r="62">
          <cell r="H62">
            <v>11507</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9"/>
  <sheetViews>
    <sheetView tabSelected="1" zoomScaleNormal="100" workbookViewId="0">
      <pane xSplit="2" ySplit="6" topLeftCell="C7" activePane="bottomRight" state="frozen"/>
      <selection pane="topRight"/>
      <selection pane="bottomLeft"/>
      <selection pane="bottomRight" activeCell="C37" sqref="C37:E45"/>
    </sheetView>
  </sheetViews>
  <sheetFormatPr defaultColWidth="9" defaultRowHeight="13.8"/>
  <cols>
    <col min="1" max="1" width="22.77734375" style="971" customWidth="1"/>
    <col min="2" max="2" width="35.44140625" style="971" customWidth="1"/>
    <col min="3" max="3" width="88.21875" style="971" customWidth="1"/>
    <col min="4" max="4" width="19.77734375" style="972" customWidth="1"/>
    <col min="5" max="5" width="28.109375" style="972" customWidth="1"/>
    <col min="6" max="6" width="11.33203125" style="973" customWidth="1"/>
    <col min="7" max="7" width="16.109375" style="971" customWidth="1"/>
    <col min="8" max="8" width="11" style="971" customWidth="1"/>
    <col min="9" max="9" width="11.6640625" style="971" customWidth="1"/>
    <col min="10" max="10" width="9.77734375" style="971" customWidth="1"/>
    <col min="11" max="11" width="11.88671875" style="971" customWidth="1"/>
    <col min="12" max="12" width="12.6640625" style="971" customWidth="1"/>
    <col min="13" max="13" width="14.33203125" style="971" customWidth="1"/>
    <col min="14" max="14" width="19.21875" style="971" customWidth="1"/>
    <col min="15" max="15" width="9.33203125" style="974" customWidth="1"/>
    <col min="16" max="16" width="11.5546875" style="971" customWidth="1"/>
    <col min="17" max="17" width="9" style="971"/>
    <col min="18" max="20" width="9" style="975"/>
    <col min="21" max="21" width="12.5546875" style="975"/>
    <col min="22" max="25" width="9" style="975"/>
    <col min="26" max="26" width="11.44140625" style="975"/>
    <col min="27" max="16384" width="9" style="975"/>
  </cols>
  <sheetData>
    <row r="1" spans="1:17" ht="17.25" customHeight="1">
      <c r="A1" s="1042" t="s">
        <v>0</v>
      </c>
      <c r="B1" s="1042"/>
      <c r="C1" s="1042"/>
      <c r="D1" s="1042"/>
      <c r="E1" s="1042"/>
      <c r="F1" s="1042"/>
      <c r="G1" s="1042"/>
      <c r="H1" s="1042"/>
      <c r="I1" s="1042"/>
      <c r="J1" s="1042"/>
      <c r="K1" s="1042"/>
      <c r="L1" s="1042"/>
      <c r="M1" s="1042"/>
      <c r="N1" s="1042"/>
      <c r="O1" s="1042"/>
      <c r="P1" s="1042"/>
      <c r="Q1" s="1042"/>
    </row>
    <row r="2" spans="1:17" s="968" customFormat="1" ht="26.4">
      <c r="A2" s="976" t="s">
        <v>1</v>
      </c>
      <c r="B2" s="977" t="s">
        <v>2</v>
      </c>
      <c r="C2" s="978"/>
      <c r="D2" s="979"/>
      <c r="E2" s="980"/>
      <c r="F2" s="981"/>
      <c r="G2" s="982"/>
      <c r="H2" s="969"/>
      <c r="I2" s="969"/>
      <c r="J2" s="969"/>
      <c r="K2" s="969"/>
      <c r="L2" s="969"/>
      <c r="M2" s="969"/>
      <c r="N2" s="1066" t="s">
        <v>3</v>
      </c>
      <c r="O2" s="1066"/>
      <c r="P2" s="1066"/>
      <c r="Q2" s="1069" t="s">
        <v>4</v>
      </c>
    </row>
    <row r="3" spans="1:17" s="968" customFormat="1">
      <c r="A3" s="983">
        <v>7.2249999999999996</v>
      </c>
      <c r="B3" s="984">
        <v>45587</v>
      </c>
      <c r="C3" s="985"/>
      <c r="D3" s="986"/>
      <c r="E3" s="987"/>
      <c r="F3" s="988"/>
      <c r="G3" s="989"/>
      <c r="H3" s="990"/>
      <c r="I3" s="990"/>
      <c r="J3" s="990"/>
      <c r="K3" s="990"/>
      <c r="L3" s="990"/>
      <c r="M3" s="990"/>
      <c r="N3" s="1067"/>
      <c r="O3" s="1067"/>
      <c r="P3" s="1067"/>
      <c r="Q3" s="1070"/>
    </row>
    <row r="4" spans="1:17" s="968" customFormat="1" ht="26.25" customHeight="1">
      <c r="A4" s="1057" t="s">
        <v>5</v>
      </c>
      <c r="B4" s="1057" t="s">
        <v>6</v>
      </c>
      <c r="C4" s="1057" t="s">
        <v>7</v>
      </c>
      <c r="D4" s="1043" t="s">
        <v>8</v>
      </c>
      <c r="E4" s="1044"/>
      <c r="F4" s="991" t="s">
        <v>9</v>
      </c>
      <c r="G4" s="1059" t="s">
        <v>10</v>
      </c>
      <c r="H4" s="1061" t="s">
        <v>11</v>
      </c>
      <c r="I4" s="1061" t="s">
        <v>12</v>
      </c>
      <c r="J4" s="1057" t="s">
        <v>13</v>
      </c>
      <c r="K4" s="1061" t="s">
        <v>14</v>
      </c>
      <c r="L4" s="1061" t="s">
        <v>15</v>
      </c>
      <c r="M4" s="1057" t="s">
        <v>16</v>
      </c>
      <c r="N4" s="1068" t="s">
        <v>17</v>
      </c>
      <c r="O4" s="1061" t="s">
        <v>18</v>
      </c>
      <c r="P4" s="1057" t="s">
        <v>19</v>
      </c>
      <c r="Q4" s="1057" t="s">
        <v>20</v>
      </c>
    </row>
    <row r="5" spans="1:17" s="968" customFormat="1" ht="27.6">
      <c r="A5" s="1058"/>
      <c r="B5" s="1058"/>
      <c r="C5" s="1058"/>
      <c r="D5" s="992" t="s">
        <v>21</v>
      </c>
      <c r="E5" s="992" t="s">
        <v>22</v>
      </c>
      <c r="F5" s="993" t="s">
        <v>23</v>
      </c>
      <c r="G5" s="1060"/>
      <c r="H5" s="1061"/>
      <c r="I5" s="1061"/>
      <c r="J5" s="1062"/>
      <c r="K5" s="1061"/>
      <c r="L5" s="1061"/>
      <c r="M5" s="1062"/>
      <c r="N5" s="1068"/>
      <c r="O5" s="1061"/>
      <c r="P5" s="1062"/>
      <c r="Q5" s="1062"/>
    </row>
    <row r="6" spans="1:17" s="969" customFormat="1" ht="30.75" customHeight="1">
      <c r="A6" s="994" t="s">
        <v>24</v>
      </c>
      <c r="B6" s="994" t="s">
        <v>25</v>
      </c>
      <c r="C6" s="995"/>
      <c r="D6" s="996"/>
      <c r="E6" s="997"/>
      <c r="F6" s="998"/>
      <c r="G6" s="999"/>
      <c r="H6" s="1000"/>
      <c r="I6" s="1000"/>
      <c r="J6" s="1000"/>
      <c r="K6" s="1000"/>
      <c r="L6" s="1000"/>
      <c r="M6" s="1000"/>
      <c r="N6" s="1032"/>
      <c r="O6" s="1000"/>
      <c r="P6" s="995"/>
      <c r="Q6" s="995"/>
    </row>
    <row r="7" spans="1:17" ht="24.45" customHeight="1">
      <c r="A7" s="1001" t="s">
        <v>26</v>
      </c>
      <c r="B7" s="1002" t="s">
        <v>27</v>
      </c>
      <c r="C7" s="1003" t="s">
        <v>28</v>
      </c>
      <c r="D7" s="1004">
        <v>14990.15</v>
      </c>
      <c r="E7" s="1005">
        <f>D7/$A$3</f>
        <v>2074.7612456747406</v>
      </c>
      <c r="F7" s="1006">
        <v>1</v>
      </c>
      <c r="G7" s="1002" t="s">
        <v>29</v>
      </c>
      <c r="H7" s="1002" t="s">
        <v>30</v>
      </c>
      <c r="I7" s="1002">
        <v>6</v>
      </c>
      <c r="J7" s="1002" t="s">
        <v>31</v>
      </c>
      <c r="K7" s="1063" t="s">
        <v>32</v>
      </c>
      <c r="L7" s="1002" t="s">
        <v>33</v>
      </c>
      <c r="M7" s="1033">
        <v>2026.01</v>
      </c>
      <c r="N7" s="1033">
        <v>2026.02</v>
      </c>
      <c r="O7" s="1002" t="s">
        <v>34</v>
      </c>
      <c r="P7" s="1002" t="s">
        <v>34</v>
      </c>
      <c r="Q7" s="1002" t="s">
        <v>34</v>
      </c>
    </row>
    <row r="8" spans="1:17" ht="26.7" customHeight="1">
      <c r="A8" s="1001" t="s">
        <v>35</v>
      </c>
      <c r="B8" s="1002" t="s">
        <v>36</v>
      </c>
      <c r="C8" s="1003" t="s">
        <v>37</v>
      </c>
      <c r="D8" s="1004">
        <v>14992.14</v>
      </c>
      <c r="E8" s="1005">
        <f>D8/$A$3</f>
        <v>2075.0366782006922</v>
      </c>
      <c r="F8" s="1006">
        <v>1</v>
      </c>
      <c r="G8" s="1002" t="s">
        <v>29</v>
      </c>
      <c r="H8" s="1002" t="s">
        <v>30</v>
      </c>
      <c r="I8" s="1002">
        <v>6</v>
      </c>
      <c r="J8" s="1002" t="s">
        <v>31</v>
      </c>
      <c r="K8" s="1064"/>
      <c r="L8" s="1002" t="s">
        <v>33</v>
      </c>
      <c r="M8" s="1033">
        <v>2025.11</v>
      </c>
      <c r="N8" s="1033">
        <v>2025.12</v>
      </c>
      <c r="O8" s="1002" t="s">
        <v>34</v>
      </c>
      <c r="P8" s="1002" t="s">
        <v>34</v>
      </c>
      <c r="Q8" s="1002" t="s">
        <v>34</v>
      </c>
    </row>
    <row r="9" spans="1:17" ht="45.45" customHeight="1">
      <c r="A9" s="1001" t="s">
        <v>38</v>
      </c>
      <c r="B9" s="1002" t="s">
        <v>39</v>
      </c>
      <c r="C9" s="1003" t="s">
        <v>40</v>
      </c>
      <c r="D9" s="1007">
        <v>22190.51</v>
      </c>
      <c r="E9" s="1005">
        <f>D9/$A$3</f>
        <v>3071.3508650519029</v>
      </c>
      <c r="F9" s="1006">
        <v>1</v>
      </c>
      <c r="G9" s="1002" t="s">
        <v>29</v>
      </c>
      <c r="H9" s="1002" t="s">
        <v>30</v>
      </c>
      <c r="I9" s="1002">
        <v>6</v>
      </c>
      <c r="J9" s="1002" t="s">
        <v>31</v>
      </c>
      <c r="K9" s="1064"/>
      <c r="L9" s="1002" t="s">
        <v>33</v>
      </c>
      <c r="M9" s="1033">
        <v>2025.11</v>
      </c>
      <c r="N9" s="1033">
        <v>2025.12</v>
      </c>
      <c r="O9" s="1002" t="s">
        <v>34</v>
      </c>
      <c r="P9" s="1002" t="s">
        <v>34</v>
      </c>
      <c r="Q9" s="1002" t="s">
        <v>34</v>
      </c>
    </row>
    <row r="10" spans="1:17" ht="40.950000000000003" customHeight="1">
      <c r="A10" s="1001" t="s">
        <v>41</v>
      </c>
      <c r="B10" s="1002" t="s">
        <v>42</v>
      </c>
      <c r="C10" s="1003" t="s">
        <v>43</v>
      </c>
      <c r="D10" s="1007">
        <v>21353.59</v>
      </c>
      <c r="E10" s="1005">
        <f>D10/$A$3</f>
        <v>2955.5141868512114</v>
      </c>
      <c r="F10" s="1006">
        <v>1</v>
      </c>
      <c r="G10" s="1002" t="s">
        <v>29</v>
      </c>
      <c r="H10" s="1002" t="s">
        <v>30</v>
      </c>
      <c r="I10" s="1002">
        <v>6</v>
      </c>
      <c r="J10" s="1002" t="s">
        <v>31</v>
      </c>
      <c r="K10" s="1064"/>
      <c r="L10" s="1002" t="s">
        <v>33</v>
      </c>
      <c r="M10" s="1033">
        <v>2025.12</v>
      </c>
      <c r="N10" s="1033">
        <v>2026.01</v>
      </c>
      <c r="O10" s="1002" t="s">
        <v>34</v>
      </c>
      <c r="P10" s="1002" t="s">
        <v>34</v>
      </c>
      <c r="Q10" s="1002" t="s">
        <v>34</v>
      </c>
    </row>
    <row r="11" spans="1:17" ht="33.450000000000003" customHeight="1">
      <c r="A11" s="1001" t="s">
        <v>44</v>
      </c>
      <c r="B11" s="1002" t="s">
        <v>45</v>
      </c>
      <c r="C11" s="1003" t="s">
        <v>46</v>
      </c>
      <c r="D11" s="1007">
        <v>22112.58</v>
      </c>
      <c r="E11" s="1005">
        <f>D11/$A$3</f>
        <v>3060.5647058823533</v>
      </c>
      <c r="F11" s="1006">
        <v>1</v>
      </c>
      <c r="G11" s="1002" t="s">
        <v>29</v>
      </c>
      <c r="H11" s="1002" t="s">
        <v>30</v>
      </c>
      <c r="I11" s="1002">
        <v>6</v>
      </c>
      <c r="J11" s="1002" t="s">
        <v>31</v>
      </c>
      <c r="K11" s="1065"/>
      <c r="L11" s="1002" t="s">
        <v>33</v>
      </c>
      <c r="M11" s="1033">
        <v>2025.12</v>
      </c>
      <c r="N11" s="1033">
        <v>2026.01</v>
      </c>
      <c r="O11" s="1002" t="s">
        <v>34</v>
      </c>
      <c r="P11" s="1002" t="s">
        <v>34</v>
      </c>
      <c r="Q11" s="1002" t="s">
        <v>34</v>
      </c>
    </row>
    <row r="12" spans="1:17" s="970" customFormat="1" ht="14.55" customHeight="1">
      <c r="A12" s="1045" t="s">
        <v>47</v>
      </c>
      <c r="B12" s="1046"/>
      <c r="C12" s="1047"/>
      <c r="D12" s="1008">
        <f>SUM(D7:D11)</f>
        <v>95638.97</v>
      </c>
      <c r="E12" s="1008">
        <f>SUM(E7:E11)</f>
        <v>13237.227681660901</v>
      </c>
      <c r="F12" s="1009">
        <v>1</v>
      </c>
      <c r="G12" s="1010"/>
      <c r="H12" s="1010"/>
      <c r="I12" s="1010"/>
      <c r="J12" s="1010"/>
      <c r="K12" s="1010"/>
      <c r="L12" s="1010"/>
      <c r="M12" s="1034"/>
      <c r="N12" s="1034"/>
      <c r="O12" s="1034"/>
      <c r="P12" s="1034"/>
      <c r="Q12" s="1010"/>
    </row>
    <row r="13" spans="1:17" s="968" customFormat="1" ht="14.55" customHeight="1">
      <c r="A13" s="994" t="s">
        <v>48</v>
      </c>
      <c r="B13" s="1011" t="s">
        <v>49</v>
      </c>
      <c r="C13" s="1011"/>
      <c r="D13" s="1011"/>
      <c r="E13" s="1011"/>
      <c r="F13" s="1011"/>
      <c r="G13" s="1011"/>
      <c r="H13" s="1011"/>
      <c r="I13" s="1011"/>
      <c r="J13" s="1011"/>
      <c r="K13" s="1011"/>
      <c r="L13" s="1011"/>
      <c r="M13" s="1011"/>
      <c r="N13" s="1011"/>
      <c r="O13" s="1011"/>
      <c r="P13" s="1035"/>
      <c r="Q13" s="1035"/>
    </row>
    <row r="14" spans="1:17" ht="27" customHeight="1">
      <c r="A14" s="1010" t="s">
        <v>50</v>
      </c>
      <c r="B14" s="1012" t="s">
        <v>51</v>
      </c>
      <c r="C14" s="1013" t="s">
        <v>52</v>
      </c>
      <c r="D14" s="1005">
        <v>17209.5</v>
      </c>
      <c r="E14" s="1005">
        <f>D14/7.225</f>
        <v>2381.9377162629758</v>
      </c>
      <c r="F14" s="1006">
        <v>1</v>
      </c>
      <c r="G14" s="1002" t="s">
        <v>29</v>
      </c>
      <c r="H14" s="1010" t="s">
        <v>30</v>
      </c>
      <c r="I14" s="1010">
        <v>6</v>
      </c>
      <c r="J14" s="1002" t="s">
        <v>31</v>
      </c>
      <c r="K14" s="1063" t="s">
        <v>32</v>
      </c>
      <c r="L14" s="1002" t="s">
        <v>33</v>
      </c>
      <c r="M14" s="1033">
        <v>2025.12</v>
      </c>
      <c r="N14" s="1033">
        <v>2026.01</v>
      </c>
      <c r="O14" s="1002" t="s">
        <v>34</v>
      </c>
      <c r="P14" s="1002" t="s">
        <v>34</v>
      </c>
      <c r="Q14" s="1002" t="s">
        <v>34</v>
      </c>
    </row>
    <row r="15" spans="1:17" ht="34.5" customHeight="1">
      <c r="A15" s="1010" t="s">
        <v>53</v>
      </c>
      <c r="B15" s="1012" t="s">
        <v>54</v>
      </c>
      <c r="C15" s="1013" t="s">
        <v>55</v>
      </c>
      <c r="D15" s="1007">
        <v>6148.5726000000004</v>
      </c>
      <c r="E15" s="1005">
        <f>D15/7.225</f>
        <v>851.01350865051916</v>
      </c>
      <c r="F15" s="1006">
        <v>1</v>
      </c>
      <c r="G15" s="1002" t="s">
        <v>29</v>
      </c>
      <c r="H15" s="1010" t="s">
        <v>30</v>
      </c>
      <c r="I15" s="1010">
        <v>6</v>
      </c>
      <c r="J15" s="1002" t="s">
        <v>31</v>
      </c>
      <c r="K15" s="1065"/>
      <c r="L15" s="1002" t="s">
        <v>33</v>
      </c>
      <c r="M15" s="1005">
        <v>2025.1</v>
      </c>
      <c r="N15" s="1005">
        <v>2025.11</v>
      </c>
      <c r="O15" s="1002" t="s">
        <v>34</v>
      </c>
      <c r="P15" s="1002" t="s">
        <v>34</v>
      </c>
      <c r="Q15" s="1002" t="s">
        <v>34</v>
      </c>
    </row>
    <row r="16" spans="1:17" ht="14.55" customHeight="1">
      <c r="A16" s="1048" t="s">
        <v>47</v>
      </c>
      <c r="B16" s="1049"/>
      <c r="C16" s="1050"/>
      <c r="D16" s="1008">
        <f>D14+D15</f>
        <v>23358.0726</v>
      </c>
      <c r="E16" s="1008">
        <f>D16/A3</f>
        <v>3232.951224913495</v>
      </c>
      <c r="F16" s="1009">
        <v>1</v>
      </c>
      <c r="G16" s="1002"/>
      <c r="H16" s="1002"/>
      <c r="I16" s="1002"/>
      <c r="J16" s="1002"/>
      <c r="K16" s="1002"/>
      <c r="L16" s="1002"/>
      <c r="M16" s="1002"/>
      <c r="N16" s="1002"/>
      <c r="O16" s="1036"/>
      <c r="P16" s="1002"/>
      <c r="Q16" s="1002"/>
    </row>
    <row r="17" spans="1:17" s="968" customFormat="1" ht="34.200000000000003" customHeight="1">
      <c r="A17" s="994" t="s">
        <v>56</v>
      </c>
      <c r="B17" s="1014" t="s">
        <v>57</v>
      </c>
      <c r="C17" s="1014"/>
      <c r="D17" s="1015"/>
      <c r="E17" s="1016"/>
      <c r="F17" s="1017"/>
      <c r="G17" s="1018"/>
      <c r="H17" s="1019"/>
      <c r="I17" s="1019"/>
      <c r="J17" s="1019"/>
      <c r="K17" s="1019"/>
      <c r="L17" s="1019"/>
      <c r="M17" s="1019"/>
      <c r="N17" s="1037"/>
      <c r="O17" s="1038"/>
      <c r="P17" s="995"/>
      <c r="Q17" s="995"/>
    </row>
    <row r="18" spans="1:17" ht="36.450000000000003" customHeight="1">
      <c r="A18" s="1002" t="s">
        <v>58</v>
      </c>
      <c r="B18" s="1002" t="s">
        <v>59</v>
      </c>
      <c r="C18" s="1003" t="s">
        <v>60</v>
      </c>
      <c r="D18" s="1005">
        <f>2826</f>
        <v>2826</v>
      </c>
      <c r="E18" s="1005">
        <f t="shared" ref="E18:E23" si="0">D18/$A$3</f>
        <v>391.14186851211076</v>
      </c>
      <c r="F18" s="1006">
        <v>1</v>
      </c>
      <c r="G18" s="1002" t="s">
        <v>61</v>
      </c>
      <c r="H18" s="1002" t="s">
        <v>30</v>
      </c>
      <c r="I18" s="1010">
        <v>12</v>
      </c>
      <c r="J18" s="1002" t="s">
        <v>31</v>
      </c>
      <c r="K18" s="1063" t="s">
        <v>62</v>
      </c>
      <c r="L18" s="1002" t="s">
        <v>33</v>
      </c>
      <c r="M18" s="1005">
        <v>2025.1</v>
      </c>
      <c r="N18" s="1005">
        <v>2025.11</v>
      </c>
      <c r="O18" s="1002" t="s">
        <v>34</v>
      </c>
      <c r="P18" s="1002" t="s">
        <v>34</v>
      </c>
      <c r="Q18" s="1002" t="s">
        <v>34</v>
      </c>
    </row>
    <row r="19" spans="1:17" ht="47.7" customHeight="1">
      <c r="A19" s="1002" t="s">
        <v>63</v>
      </c>
      <c r="B19" s="1002" t="s">
        <v>64</v>
      </c>
      <c r="C19" s="1003" t="s">
        <v>65</v>
      </c>
      <c r="D19" s="1005">
        <f>[1]综合概算表!$F$353*0.26</f>
        <v>3072.53323</v>
      </c>
      <c r="E19" s="1005">
        <f t="shared" si="0"/>
        <v>425.26411487889277</v>
      </c>
      <c r="F19" s="1006">
        <v>1</v>
      </c>
      <c r="G19" s="1002" t="s">
        <v>61</v>
      </c>
      <c r="H19" s="1002" t="s">
        <v>30</v>
      </c>
      <c r="I19" s="1010">
        <v>12</v>
      </c>
      <c r="J19" s="1002" t="s">
        <v>31</v>
      </c>
      <c r="K19" s="1064"/>
      <c r="L19" s="1002" t="s">
        <v>33</v>
      </c>
      <c r="M19" s="1005">
        <v>2026.04</v>
      </c>
      <c r="N19" s="1005">
        <v>2026.05</v>
      </c>
      <c r="O19" s="1002" t="s">
        <v>34</v>
      </c>
      <c r="P19" s="1002" t="s">
        <v>34</v>
      </c>
      <c r="Q19" s="1002" t="s">
        <v>34</v>
      </c>
    </row>
    <row r="20" spans="1:17" ht="59.25" customHeight="1">
      <c r="A20" s="1002" t="s">
        <v>66</v>
      </c>
      <c r="B20" s="1002" t="s">
        <v>67</v>
      </c>
      <c r="C20" s="1003" t="s">
        <v>68</v>
      </c>
      <c r="D20" s="1005">
        <f>[1]综合概算表!$F$353*0.58</f>
        <v>6854.1125899999997</v>
      </c>
      <c r="E20" s="1005">
        <f t="shared" si="0"/>
        <v>948.66610242214529</v>
      </c>
      <c r="F20" s="1006">
        <v>1</v>
      </c>
      <c r="G20" s="1002" t="s">
        <v>61</v>
      </c>
      <c r="H20" s="1002" t="s">
        <v>30</v>
      </c>
      <c r="I20" s="1010">
        <v>18</v>
      </c>
      <c r="J20" s="1002" t="s">
        <v>31</v>
      </c>
      <c r="K20" s="1064"/>
      <c r="L20" s="1002" t="s">
        <v>33</v>
      </c>
      <c r="M20" s="1005">
        <v>2026.12</v>
      </c>
      <c r="N20" s="1005">
        <v>2027.07</v>
      </c>
      <c r="O20" s="1002" t="s">
        <v>34</v>
      </c>
      <c r="P20" s="1002" t="s">
        <v>34</v>
      </c>
      <c r="Q20" s="1002" t="s">
        <v>34</v>
      </c>
    </row>
    <row r="21" spans="1:17" ht="73.5" customHeight="1">
      <c r="A21" s="1002" t="s">
        <v>69</v>
      </c>
      <c r="B21" s="1002" t="s">
        <v>70</v>
      </c>
      <c r="C21" s="1003" t="s">
        <v>71</v>
      </c>
      <c r="D21" s="1008">
        <v>2983.69</v>
      </c>
      <c r="E21" s="1008">
        <f t="shared" si="0"/>
        <v>412.96747404844291</v>
      </c>
      <c r="F21" s="1006">
        <v>1</v>
      </c>
      <c r="G21" s="1002" t="s">
        <v>61</v>
      </c>
      <c r="H21" s="1002" t="s">
        <v>30</v>
      </c>
      <c r="I21" s="1010">
        <v>12</v>
      </c>
      <c r="J21" s="1002" t="s">
        <v>31</v>
      </c>
      <c r="K21" s="1064"/>
      <c r="L21" s="1002" t="s">
        <v>33</v>
      </c>
      <c r="M21" s="1005">
        <v>2025.12</v>
      </c>
      <c r="N21" s="1005">
        <v>2026.01</v>
      </c>
      <c r="O21" s="1002" t="s">
        <v>34</v>
      </c>
      <c r="P21" s="1002" t="s">
        <v>34</v>
      </c>
      <c r="Q21" s="1002" t="s">
        <v>34</v>
      </c>
    </row>
    <row r="22" spans="1:17" ht="54" customHeight="1">
      <c r="A22" s="1002" t="s">
        <v>72</v>
      </c>
      <c r="B22" s="1002" t="s">
        <v>73</v>
      </c>
      <c r="C22" s="1003" t="s">
        <v>74</v>
      </c>
      <c r="D22" s="1008">
        <v>1165.21</v>
      </c>
      <c r="E22" s="1008">
        <f t="shared" si="0"/>
        <v>161.27474048442909</v>
      </c>
      <c r="F22" s="1006">
        <v>1</v>
      </c>
      <c r="G22" s="1002" t="s">
        <v>61</v>
      </c>
      <c r="H22" s="1002" t="s">
        <v>30</v>
      </c>
      <c r="I22" s="1010">
        <v>12</v>
      </c>
      <c r="J22" s="1002" t="s">
        <v>75</v>
      </c>
      <c r="K22" s="1065"/>
      <c r="L22" s="1002" t="s">
        <v>33</v>
      </c>
      <c r="M22" s="1005">
        <v>2026.04</v>
      </c>
      <c r="N22" s="1005">
        <v>2026.05</v>
      </c>
      <c r="O22" s="1002" t="s">
        <v>34</v>
      </c>
      <c r="P22" s="1002" t="s">
        <v>34</v>
      </c>
      <c r="Q22" s="1002" t="s">
        <v>34</v>
      </c>
    </row>
    <row r="23" spans="1:17" ht="61.95" customHeight="1">
      <c r="A23" s="1002" t="s">
        <v>76</v>
      </c>
      <c r="B23" s="1002" t="s">
        <v>77</v>
      </c>
      <c r="C23" s="1003" t="s">
        <v>78</v>
      </c>
      <c r="D23" s="1005">
        <f>[1]综合概算表!$F$451</f>
        <v>18142.150000000001</v>
      </c>
      <c r="E23" s="1005">
        <f t="shared" si="0"/>
        <v>2511.0242214532877</v>
      </c>
      <c r="F23" s="1006">
        <v>1</v>
      </c>
      <c r="G23" s="1002" t="s">
        <v>61</v>
      </c>
      <c r="H23" s="1002" t="s">
        <v>79</v>
      </c>
      <c r="I23" s="1010">
        <v>34</v>
      </c>
      <c r="J23" s="1002" t="s">
        <v>31</v>
      </c>
      <c r="K23" s="1002" t="s">
        <v>80</v>
      </c>
      <c r="L23" s="1002" t="s">
        <v>33</v>
      </c>
      <c r="M23" s="1005">
        <v>2026.12</v>
      </c>
      <c r="N23" s="1005">
        <v>2027.01</v>
      </c>
      <c r="O23" s="1002" t="s">
        <v>34</v>
      </c>
      <c r="P23" s="1002" t="s">
        <v>34</v>
      </c>
      <c r="Q23" s="1002" t="s">
        <v>34</v>
      </c>
    </row>
    <row r="24" spans="1:17" ht="14.55" customHeight="1">
      <c r="A24" s="1002" t="s">
        <v>81</v>
      </c>
      <c r="B24" s="1002" t="s">
        <v>82</v>
      </c>
      <c r="C24" s="1002" t="s">
        <v>82</v>
      </c>
      <c r="D24" s="1005">
        <f>7423.3171042545+5866.85101132374-2039.15-525.91+145.053905999986+6215.7657431718-373.57+420+7389.01381524996</f>
        <v>24521.371579999988</v>
      </c>
      <c r="E24" s="1005">
        <f>D24/7.225</f>
        <v>3393.9614643598602</v>
      </c>
      <c r="F24" s="1006">
        <v>1</v>
      </c>
      <c r="G24" s="1002" t="s">
        <v>61</v>
      </c>
      <c r="H24" s="1002" t="s">
        <v>79</v>
      </c>
      <c r="I24" s="1010">
        <v>30</v>
      </c>
      <c r="J24" s="1002" t="s">
        <v>31</v>
      </c>
      <c r="K24" s="1002" t="s">
        <v>34</v>
      </c>
      <c r="L24" s="1002" t="s">
        <v>33</v>
      </c>
      <c r="M24" s="1005">
        <v>2027.04</v>
      </c>
      <c r="N24" s="1005">
        <v>2027.05</v>
      </c>
      <c r="O24" s="1002" t="s">
        <v>34</v>
      </c>
      <c r="P24" s="1002" t="s">
        <v>34</v>
      </c>
      <c r="Q24" s="1002" t="s">
        <v>34</v>
      </c>
    </row>
    <row r="25" spans="1:17" ht="14.55" customHeight="1">
      <c r="A25" s="1048" t="s">
        <v>47</v>
      </c>
      <c r="B25" s="1049"/>
      <c r="C25" s="1050"/>
      <c r="D25" s="1008">
        <f>SUM(D18:D24)</f>
        <v>59565.067399999985</v>
      </c>
      <c r="E25" s="1008">
        <f>D25/A3</f>
        <v>8244.299986159167</v>
      </c>
      <c r="F25" s="1009">
        <v>1</v>
      </c>
      <c r="G25" s="1002"/>
      <c r="H25" s="1002"/>
      <c r="I25" s="1002"/>
      <c r="J25" s="1002"/>
      <c r="K25" s="1002"/>
      <c r="L25" s="1002"/>
      <c r="M25" s="1036"/>
      <c r="N25" s="1036"/>
      <c r="O25" s="1036"/>
      <c r="P25" s="1036"/>
      <c r="Q25" s="1002"/>
    </row>
    <row r="26" spans="1:17" s="968" customFormat="1" ht="14.55" customHeight="1">
      <c r="A26" s="994" t="s">
        <v>83</v>
      </c>
      <c r="B26" s="994" t="s">
        <v>84</v>
      </c>
      <c r="C26" s="995"/>
      <c r="D26" s="996"/>
      <c r="E26" s="997"/>
      <c r="F26" s="998"/>
      <c r="G26" s="999"/>
      <c r="H26" s="1000"/>
      <c r="I26" s="995"/>
      <c r="J26" s="995"/>
      <c r="K26" s="995"/>
      <c r="L26" s="1000"/>
      <c r="M26" s="1000"/>
      <c r="N26" s="1032"/>
      <c r="O26" s="1000"/>
      <c r="P26" s="995"/>
      <c r="Q26" s="995"/>
    </row>
    <row r="27" spans="1:17" ht="41.4" customHeight="1">
      <c r="A27" s="1002" t="s">
        <v>85</v>
      </c>
      <c r="B27" s="1003" t="s">
        <v>86</v>
      </c>
      <c r="C27" s="1020" t="s">
        <v>87</v>
      </c>
      <c r="D27" s="1007">
        <f>'[2]总投资-发采购-0411-GLP拆分场外费用(司调)'!G333</f>
        <v>1000</v>
      </c>
      <c r="E27" s="1007">
        <f>D27/$A$3</f>
        <v>138.4083044982699</v>
      </c>
      <c r="F27" s="1006">
        <v>1</v>
      </c>
      <c r="G27" s="1002" t="s">
        <v>88</v>
      </c>
      <c r="H27" s="1002" t="s">
        <v>89</v>
      </c>
      <c r="I27" s="1010">
        <v>48</v>
      </c>
      <c r="J27" s="1002" t="s">
        <v>31</v>
      </c>
      <c r="K27" s="1002" t="s">
        <v>90</v>
      </c>
      <c r="L27" s="1002" t="s">
        <v>33</v>
      </c>
      <c r="M27" s="1005">
        <v>2025.1</v>
      </c>
      <c r="N27" s="1005">
        <v>2025.11</v>
      </c>
      <c r="O27" s="1002" t="s">
        <v>34</v>
      </c>
      <c r="P27" s="1002" t="s">
        <v>34</v>
      </c>
      <c r="Q27" s="1002" t="s">
        <v>34</v>
      </c>
    </row>
    <row r="28" spans="1:17" ht="41.4" customHeight="1">
      <c r="A28" s="1002" t="s">
        <v>91</v>
      </c>
      <c r="B28" s="1003" t="s">
        <v>92</v>
      </c>
      <c r="C28" s="1020" t="s">
        <v>93</v>
      </c>
      <c r="D28" s="1007">
        <f>'[2]总投资-发采购-0411-GLP拆分场外费用(司调)'!G331</f>
        <v>761</v>
      </c>
      <c r="E28" s="1007">
        <f t="shared" ref="E28:E33" si="1">D28/$A$3</f>
        <v>105.3287197231834</v>
      </c>
      <c r="F28" s="1006">
        <v>1</v>
      </c>
      <c r="G28" s="1002" t="s">
        <v>88</v>
      </c>
      <c r="H28" s="1002" t="s">
        <v>89</v>
      </c>
      <c r="I28" s="1010">
        <v>46</v>
      </c>
      <c r="J28" s="1002" t="s">
        <v>31</v>
      </c>
      <c r="K28" s="1002" t="s">
        <v>90</v>
      </c>
      <c r="L28" s="1002" t="s">
        <v>33</v>
      </c>
      <c r="M28" s="1005">
        <v>2025.12</v>
      </c>
      <c r="N28" s="1005">
        <v>2026.01</v>
      </c>
      <c r="O28" s="1002" t="s">
        <v>34</v>
      </c>
      <c r="P28" s="1002" t="s">
        <v>34</v>
      </c>
      <c r="Q28" s="1002" t="s">
        <v>34</v>
      </c>
    </row>
    <row r="29" spans="1:17" ht="31.95" customHeight="1">
      <c r="A29" s="1002" t="s">
        <v>94</v>
      </c>
      <c r="B29" s="1003" t="s">
        <v>95</v>
      </c>
      <c r="C29" s="1020" t="s">
        <v>96</v>
      </c>
      <c r="D29" s="1007">
        <f>'[2]总投资-发采购-0411-GLP拆分场外费用(司调)'!G332</f>
        <v>116</v>
      </c>
      <c r="E29" s="1007">
        <f t="shared" si="1"/>
        <v>16.055363321799309</v>
      </c>
      <c r="F29" s="1006">
        <v>1</v>
      </c>
      <c r="G29" s="1002" t="s">
        <v>88</v>
      </c>
      <c r="H29" s="1002" t="s">
        <v>97</v>
      </c>
      <c r="I29" s="1010">
        <v>46</v>
      </c>
      <c r="J29" s="1002" t="s">
        <v>75</v>
      </c>
      <c r="K29" s="1002" t="s">
        <v>34</v>
      </c>
      <c r="L29" s="1002" t="s">
        <v>33</v>
      </c>
      <c r="M29" s="1005">
        <v>2025.12</v>
      </c>
      <c r="N29" s="1005">
        <v>2026.01</v>
      </c>
      <c r="O29" s="1002" t="s">
        <v>34</v>
      </c>
      <c r="P29" s="1002" t="s">
        <v>34</v>
      </c>
      <c r="Q29" s="1002" t="s">
        <v>34</v>
      </c>
    </row>
    <row r="30" spans="1:17" ht="28.2" customHeight="1">
      <c r="A30" s="1002" t="s">
        <v>98</v>
      </c>
      <c r="B30" s="1003" t="s">
        <v>99</v>
      </c>
      <c r="C30" s="1020" t="s">
        <v>99</v>
      </c>
      <c r="D30" s="1007">
        <v>180</v>
      </c>
      <c r="E30" s="1007">
        <f t="shared" si="1"/>
        <v>24.913494809688583</v>
      </c>
      <c r="F30" s="1006">
        <v>1</v>
      </c>
      <c r="G30" s="1002" t="s">
        <v>88</v>
      </c>
      <c r="H30" s="1002" t="s">
        <v>97</v>
      </c>
      <c r="I30" s="1010">
        <v>36</v>
      </c>
      <c r="J30" s="1002" t="s">
        <v>75</v>
      </c>
      <c r="K30" s="1002" t="s">
        <v>34</v>
      </c>
      <c r="L30" s="1002" t="s">
        <v>33</v>
      </c>
      <c r="M30" s="1005">
        <v>2026.06</v>
      </c>
      <c r="N30" s="1005">
        <v>2026.07</v>
      </c>
      <c r="O30" s="1002" t="s">
        <v>34</v>
      </c>
      <c r="P30" s="1002" t="s">
        <v>34</v>
      </c>
      <c r="Q30" s="1002" t="s">
        <v>34</v>
      </c>
    </row>
    <row r="31" spans="1:17" ht="28.95" customHeight="1">
      <c r="A31" s="1002" t="s">
        <v>100</v>
      </c>
      <c r="B31" s="1003" t="s">
        <v>101</v>
      </c>
      <c r="C31" s="1020" t="s">
        <v>101</v>
      </c>
      <c r="D31" s="1007">
        <v>180</v>
      </c>
      <c r="E31" s="1007">
        <f t="shared" si="1"/>
        <v>24.913494809688583</v>
      </c>
      <c r="F31" s="1006">
        <v>1</v>
      </c>
      <c r="G31" s="1002" t="s">
        <v>88</v>
      </c>
      <c r="H31" s="1002" t="s">
        <v>97</v>
      </c>
      <c r="I31" s="1010">
        <v>36</v>
      </c>
      <c r="J31" s="1002" t="s">
        <v>75</v>
      </c>
      <c r="K31" s="1002" t="s">
        <v>34</v>
      </c>
      <c r="L31" s="1002" t="s">
        <v>33</v>
      </c>
      <c r="M31" s="1005">
        <v>2026.06</v>
      </c>
      <c r="N31" s="1005">
        <v>2026.07</v>
      </c>
      <c r="O31" s="1002" t="s">
        <v>34</v>
      </c>
      <c r="P31" s="1002" t="s">
        <v>34</v>
      </c>
      <c r="Q31" s="1002" t="s">
        <v>34</v>
      </c>
    </row>
    <row r="32" spans="1:17" ht="31.5" customHeight="1">
      <c r="A32" s="1002" t="s">
        <v>102</v>
      </c>
      <c r="B32" s="1003" t="s">
        <v>103</v>
      </c>
      <c r="C32" s="1020" t="s">
        <v>103</v>
      </c>
      <c r="D32" s="1007">
        <v>180</v>
      </c>
      <c r="E32" s="1007">
        <f t="shared" si="1"/>
        <v>24.913494809688583</v>
      </c>
      <c r="F32" s="1006">
        <v>1</v>
      </c>
      <c r="G32" s="1002" t="s">
        <v>88</v>
      </c>
      <c r="H32" s="1002" t="s">
        <v>97</v>
      </c>
      <c r="I32" s="1010">
        <v>36</v>
      </c>
      <c r="J32" s="1002" t="s">
        <v>75</v>
      </c>
      <c r="K32" s="1002" t="s">
        <v>34</v>
      </c>
      <c r="L32" s="1002" t="s">
        <v>33</v>
      </c>
      <c r="M32" s="1005">
        <v>2026.06</v>
      </c>
      <c r="N32" s="1005">
        <v>2026.07</v>
      </c>
      <c r="O32" s="1002" t="s">
        <v>34</v>
      </c>
      <c r="P32" s="1002" t="s">
        <v>34</v>
      </c>
      <c r="Q32" s="1002" t="s">
        <v>34</v>
      </c>
    </row>
    <row r="33" spans="1:17" ht="14.55" customHeight="1">
      <c r="A33" s="1051" t="s">
        <v>47</v>
      </c>
      <c r="B33" s="1052"/>
      <c r="C33" s="1053"/>
      <c r="D33" s="1021">
        <f>SUM(D27:D32)</f>
        <v>2417</v>
      </c>
      <c r="E33" s="1021">
        <f t="shared" si="1"/>
        <v>334.53287197231833</v>
      </c>
      <c r="F33" s="1022">
        <v>1</v>
      </c>
      <c r="G33" s="1023"/>
      <c r="H33" s="1023"/>
      <c r="I33" s="1023"/>
      <c r="J33" s="1023"/>
      <c r="K33" s="1023"/>
      <c r="L33" s="1023"/>
      <c r="M33" s="1023"/>
      <c r="N33" s="1023"/>
      <c r="O33" s="1039"/>
      <c r="P33" s="1025"/>
      <c r="Q33" s="1023"/>
    </row>
    <row r="34" spans="1:17" ht="14.55" customHeight="1">
      <c r="A34" s="1023"/>
      <c r="B34" s="1024"/>
      <c r="C34" s="1024"/>
      <c r="D34" s="1025"/>
      <c r="E34" s="1025"/>
      <c r="F34" s="1026"/>
      <c r="G34" s="1023"/>
      <c r="H34" s="1023"/>
      <c r="I34" s="1023"/>
      <c r="J34" s="1023"/>
      <c r="K34" s="1023"/>
      <c r="L34" s="1023"/>
      <c r="M34" s="1023"/>
      <c r="N34" s="1023"/>
      <c r="O34" s="1039"/>
      <c r="P34" s="1025"/>
      <c r="Q34" s="1023"/>
    </row>
    <row r="35" spans="1:17" ht="14.55" customHeight="1">
      <c r="A35" s="1054" t="s">
        <v>104</v>
      </c>
      <c r="B35" s="1055"/>
      <c r="C35" s="1056"/>
      <c r="D35" s="1027">
        <f>SUM(D12,D16,D25,D33)</f>
        <v>180979.11</v>
      </c>
      <c r="E35" s="1027">
        <f>D35/A3</f>
        <v>25049.011764705883</v>
      </c>
      <c r="F35" s="1028">
        <v>1</v>
      </c>
      <c r="G35" s="1029"/>
      <c r="H35" s="1029"/>
      <c r="I35" s="1029"/>
      <c r="J35" s="1029"/>
      <c r="K35" s="1029"/>
      <c r="L35" s="1029"/>
      <c r="M35" s="1029"/>
      <c r="N35" s="1029"/>
      <c r="O35" s="1040"/>
      <c r="P35" s="1041"/>
      <c r="Q35" s="1029"/>
    </row>
    <row r="36" spans="1:17" ht="14.55" customHeight="1"/>
    <row r="37" spans="1:17" ht="14.55" customHeight="1"/>
    <row r="38" spans="1:17" ht="14.55" customHeight="1"/>
    <row r="39" spans="1:17" ht="14.55" customHeight="1"/>
    <row r="40" spans="1:17" ht="14.55" customHeight="1">
      <c r="D40" s="1030"/>
      <c r="E40" s="1030"/>
    </row>
    <row r="43" spans="1:17">
      <c r="C43" s="1031"/>
    </row>
    <row r="49" spans="4:4">
      <c r="D49" s="1030"/>
    </row>
  </sheetData>
  <mergeCells count="28">
    <mergeCell ref="Q2:Q3"/>
    <mergeCell ref="Q4:Q5"/>
    <mergeCell ref="N4:N5"/>
    <mergeCell ref="O2:O3"/>
    <mergeCell ref="O4:O5"/>
    <mergeCell ref="P2:P3"/>
    <mergeCell ref="P4:P5"/>
    <mergeCell ref="A33:C33"/>
    <mergeCell ref="A35:C35"/>
    <mergeCell ref="A4:A5"/>
    <mergeCell ref="B4:B5"/>
    <mergeCell ref="C4:C5"/>
    <mergeCell ref="A1:Q1"/>
    <mergeCell ref="D4:E4"/>
    <mergeCell ref="A12:C12"/>
    <mergeCell ref="A16:C16"/>
    <mergeCell ref="A25:C25"/>
    <mergeCell ref="G4:G5"/>
    <mergeCell ref="H4:H5"/>
    <mergeCell ref="I4:I5"/>
    <mergeCell ref="J4:J5"/>
    <mergeCell ref="K4:K5"/>
    <mergeCell ref="K7:K11"/>
    <mergeCell ref="K14:K15"/>
    <mergeCell ref="K18:K22"/>
    <mergeCell ref="L4:L5"/>
    <mergeCell ref="M4:M5"/>
    <mergeCell ref="N2:N3"/>
  </mergeCells>
  <conditionalFormatting sqref="B14:B15">
    <cfRule type="expression" dxfId="6" priority="1">
      <formula>AND(COUNTIF(#REF!,B14)+COUNTIF(#REF!,B14)&gt;1,NOT(ISBLANK(B14)))</formula>
    </cfRule>
  </conditionalFormatting>
  <printOptions horizontalCentered="1" verticalCentered="1"/>
  <pageMargins left="0.235416666666667" right="0.235416666666667" top="0.39305555555555599" bottom="0.39305555555555599" header="0.31388888888888899" footer="0.31388888888888899"/>
  <pageSetup paperSize="8" scale="42"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2"/>
  <sheetViews>
    <sheetView zoomScale="136" zoomScaleNormal="136" workbookViewId="0">
      <pane xSplit="4" ySplit="3" topLeftCell="E4" activePane="bottomRight" state="frozen"/>
      <selection pane="topRight"/>
      <selection pane="bottomLeft"/>
      <selection pane="bottomRight" sqref="A1:Q1"/>
    </sheetView>
  </sheetViews>
  <sheetFormatPr defaultColWidth="8.88671875" defaultRowHeight="13.8"/>
  <cols>
    <col min="1" max="1" width="4.33203125" style="533" customWidth="1"/>
    <col min="2" max="2" width="16.77734375" style="533" hidden="1" customWidth="1"/>
    <col min="3" max="3" width="43" style="534" customWidth="1"/>
    <col min="4" max="4" width="14.109375" style="534" customWidth="1"/>
    <col min="5" max="5" width="12.44140625" style="533" customWidth="1"/>
    <col min="6" max="6" width="10.44140625" style="533" customWidth="1"/>
    <col min="7" max="7" width="8.88671875" style="535" customWidth="1"/>
    <col min="8" max="8" width="8.88671875" style="535" hidden="1" customWidth="1"/>
    <col min="9" max="9" width="6.33203125" style="535" customWidth="1"/>
    <col min="10" max="10" width="6.88671875" style="533" customWidth="1"/>
    <col min="11" max="11" width="7.44140625" style="533" customWidth="1"/>
    <col min="12" max="12" width="8.88671875" style="533" customWidth="1"/>
    <col min="13" max="13" width="9.109375" style="533" customWidth="1"/>
    <col min="14" max="14" width="6" style="533" customWidth="1"/>
    <col min="15" max="15" width="9.109375" style="533" customWidth="1"/>
    <col min="16" max="16" width="9.88671875" style="533" customWidth="1"/>
    <col min="17" max="17" width="8.77734375" style="536" hidden="1" customWidth="1"/>
    <col min="18" max="18" width="9" style="532" customWidth="1"/>
    <col min="19" max="255" width="9" style="201" customWidth="1"/>
    <col min="256" max="16384" width="8.88671875" style="201"/>
  </cols>
  <sheetData>
    <row r="1" spans="1:18" s="529" customFormat="1" ht="17.399999999999999">
      <c r="A1" s="1146" t="s">
        <v>1182</v>
      </c>
      <c r="B1" s="1146"/>
      <c r="C1" s="1146"/>
      <c r="D1" s="1146"/>
      <c r="E1" s="1146"/>
      <c r="F1" s="1146"/>
      <c r="G1" s="1147"/>
      <c r="H1" s="1147"/>
      <c r="I1" s="1147"/>
      <c r="J1" s="1146"/>
      <c r="K1" s="1146"/>
      <c r="L1" s="1146"/>
      <c r="M1" s="1146"/>
      <c r="N1" s="1146"/>
      <c r="O1" s="1146"/>
      <c r="P1" s="1146"/>
      <c r="Q1" s="1146"/>
      <c r="R1" s="610"/>
    </row>
    <row r="2" spans="1:18" s="530" customFormat="1" ht="15.6">
      <c r="A2" s="1151" t="s">
        <v>1183</v>
      </c>
      <c r="B2" s="1151" t="s">
        <v>1184</v>
      </c>
      <c r="C2" s="1151" t="s">
        <v>1185</v>
      </c>
      <c r="D2" s="1152" t="s">
        <v>1186</v>
      </c>
      <c r="E2" s="1148" t="s">
        <v>1187</v>
      </c>
      <c r="F2" s="1148"/>
      <c r="G2" s="1149" t="s">
        <v>1188</v>
      </c>
      <c r="H2" s="1150"/>
      <c r="I2" s="1154" t="s">
        <v>813</v>
      </c>
      <c r="J2" s="1156" t="s">
        <v>814</v>
      </c>
      <c r="K2" s="1157" t="s">
        <v>116</v>
      </c>
      <c r="L2" s="1159" t="s">
        <v>1189</v>
      </c>
      <c r="M2" s="1156" t="s">
        <v>816</v>
      </c>
      <c r="N2" s="1160" t="s">
        <v>817</v>
      </c>
      <c r="O2" s="1160" t="s">
        <v>1190</v>
      </c>
      <c r="P2" s="1160" t="s">
        <v>1191</v>
      </c>
      <c r="Q2" s="1162" t="s">
        <v>1192</v>
      </c>
      <c r="R2" s="611"/>
    </row>
    <row r="3" spans="1:18" s="530" customFormat="1" ht="24">
      <c r="A3" s="1151"/>
      <c r="B3" s="1151"/>
      <c r="C3" s="1151"/>
      <c r="D3" s="1153"/>
      <c r="E3" s="538" t="s">
        <v>1193</v>
      </c>
      <c r="F3" s="538" t="s">
        <v>1194</v>
      </c>
      <c r="G3" s="537" t="s">
        <v>1195</v>
      </c>
      <c r="H3" s="537" t="s">
        <v>822</v>
      </c>
      <c r="I3" s="1155"/>
      <c r="J3" s="1151"/>
      <c r="K3" s="1158"/>
      <c r="L3" s="1158"/>
      <c r="M3" s="1151"/>
      <c r="N3" s="1153"/>
      <c r="O3" s="1153"/>
      <c r="P3" s="1161"/>
      <c r="Q3" s="1163"/>
      <c r="R3" s="611"/>
    </row>
    <row r="4" spans="1:18" s="531" customFormat="1">
      <c r="A4" s="539">
        <v>1</v>
      </c>
      <c r="B4" s="540" t="s">
        <v>1196</v>
      </c>
      <c r="C4" s="541" t="s">
        <v>1197</v>
      </c>
      <c r="D4" s="542" t="s">
        <v>1198</v>
      </c>
      <c r="E4" s="543">
        <f>'20231207预算'!F8+'20231207预算'!F21</f>
        <v>34982.961600000002</v>
      </c>
      <c r="F4" s="543"/>
      <c r="G4" s="544">
        <v>1</v>
      </c>
      <c r="H4" s="544"/>
      <c r="I4" s="582" t="s">
        <v>335</v>
      </c>
      <c r="J4" s="540" t="s">
        <v>79</v>
      </c>
      <c r="K4" s="583" t="s">
        <v>180</v>
      </c>
      <c r="L4" s="584" t="s">
        <v>1199</v>
      </c>
      <c r="M4" s="584" t="s">
        <v>830</v>
      </c>
      <c r="N4" s="585">
        <v>18</v>
      </c>
      <c r="O4" s="586" t="s">
        <v>1200</v>
      </c>
      <c r="P4" s="586" t="s">
        <v>1200</v>
      </c>
      <c r="Q4" s="612" t="s">
        <v>1201</v>
      </c>
      <c r="R4" s="532"/>
    </row>
    <row r="5" spans="1:18">
      <c r="A5" s="539">
        <v>2</v>
      </c>
      <c r="B5" s="540" t="s">
        <v>1202</v>
      </c>
      <c r="C5" s="541" t="s">
        <v>1203</v>
      </c>
      <c r="D5" s="542" t="s">
        <v>1198</v>
      </c>
      <c r="E5" s="543">
        <f>'20231207预算'!F34</f>
        <v>25201.227999999999</v>
      </c>
      <c r="F5" s="543"/>
      <c r="G5" s="544">
        <v>1</v>
      </c>
      <c r="H5" s="544"/>
      <c r="I5" s="582" t="s">
        <v>335</v>
      </c>
      <c r="J5" s="540" t="s">
        <v>79</v>
      </c>
      <c r="K5" s="583" t="s">
        <v>336</v>
      </c>
      <c r="L5" s="587" t="s">
        <v>1199</v>
      </c>
      <c r="M5" s="584" t="s">
        <v>1204</v>
      </c>
      <c r="N5" s="585">
        <v>18</v>
      </c>
      <c r="O5" s="588" t="s">
        <v>1200</v>
      </c>
      <c r="P5" s="588" t="s">
        <v>1200</v>
      </c>
      <c r="Q5" s="612">
        <v>1.3</v>
      </c>
    </row>
    <row r="6" spans="1:18">
      <c r="A6" s="539">
        <v>3</v>
      </c>
      <c r="B6" s="540" t="s">
        <v>1205</v>
      </c>
      <c r="C6" s="541" t="s">
        <v>1206</v>
      </c>
      <c r="D6" s="542" t="s">
        <v>1198</v>
      </c>
      <c r="E6" s="545">
        <f>'20231207预算'!F74+'20231207预算'!F87+'20231207预算'!F113+'20231207预算'!F125+'20231207预算'!F137+'20231207预算'!F149</f>
        <v>66506.560500000007</v>
      </c>
      <c r="F6" s="543"/>
      <c r="G6" s="544">
        <v>1</v>
      </c>
      <c r="H6" s="544"/>
      <c r="I6" s="582" t="s">
        <v>335</v>
      </c>
      <c r="J6" s="540" t="s">
        <v>79</v>
      </c>
      <c r="K6" s="583" t="s">
        <v>180</v>
      </c>
      <c r="L6" s="584" t="s">
        <v>1199</v>
      </c>
      <c r="M6" s="584" t="s">
        <v>1204</v>
      </c>
      <c r="N6" s="585">
        <v>24</v>
      </c>
      <c r="O6" s="588" t="s">
        <v>1200</v>
      </c>
      <c r="P6" s="588" t="s">
        <v>1200</v>
      </c>
      <c r="Q6" s="612" t="s">
        <v>1207</v>
      </c>
    </row>
    <row r="7" spans="1:18" s="531" customFormat="1">
      <c r="A7" s="539">
        <v>4</v>
      </c>
      <c r="B7" s="540" t="s">
        <v>1208</v>
      </c>
      <c r="C7" s="541" t="s">
        <v>1209</v>
      </c>
      <c r="D7" s="542" t="s">
        <v>1198</v>
      </c>
      <c r="E7" s="545">
        <f>'20231207预算'!F235</f>
        <v>37772.074840000001</v>
      </c>
      <c r="F7" s="545"/>
      <c r="G7" s="546">
        <v>1</v>
      </c>
      <c r="H7" s="546"/>
      <c r="I7" s="589" t="s">
        <v>335</v>
      </c>
      <c r="J7" s="590" t="s">
        <v>79</v>
      </c>
      <c r="K7" s="591" t="s">
        <v>180</v>
      </c>
      <c r="L7" s="584" t="s">
        <v>1199</v>
      </c>
      <c r="M7" s="584" t="s">
        <v>830</v>
      </c>
      <c r="N7" s="585">
        <v>30</v>
      </c>
      <c r="O7" s="588" t="s">
        <v>1200</v>
      </c>
      <c r="P7" s="588" t="s">
        <v>1200</v>
      </c>
      <c r="Q7" s="612">
        <v>3.1</v>
      </c>
      <c r="R7" s="532"/>
    </row>
    <row r="8" spans="1:18">
      <c r="A8" s="539">
        <v>5</v>
      </c>
      <c r="B8" s="540" t="s">
        <v>1210</v>
      </c>
      <c r="C8" s="541" t="s">
        <v>1211</v>
      </c>
      <c r="D8" s="542" t="s">
        <v>1198</v>
      </c>
      <c r="E8" s="545">
        <f>'20231207预算'!F100</f>
        <v>2841.75</v>
      </c>
      <c r="F8" s="543"/>
      <c r="G8" s="544">
        <v>1</v>
      </c>
      <c r="H8" s="544"/>
      <c r="I8" s="582" t="s">
        <v>335</v>
      </c>
      <c r="J8" s="540" t="s">
        <v>79</v>
      </c>
      <c r="K8" s="591" t="s">
        <v>336</v>
      </c>
      <c r="L8" s="584" t="s">
        <v>1199</v>
      </c>
      <c r="M8" s="584" t="s">
        <v>1204</v>
      </c>
      <c r="N8" s="585">
        <v>12</v>
      </c>
      <c r="O8" s="588" t="s">
        <v>1200</v>
      </c>
      <c r="P8" s="588" t="s">
        <v>1200</v>
      </c>
      <c r="Q8" s="612" t="s">
        <v>1212</v>
      </c>
    </row>
    <row r="9" spans="1:18">
      <c r="A9" s="539">
        <v>6</v>
      </c>
      <c r="B9" s="540" t="s">
        <v>1213</v>
      </c>
      <c r="C9" s="541" t="s">
        <v>1214</v>
      </c>
      <c r="D9" s="542" t="s">
        <v>1198</v>
      </c>
      <c r="E9" s="545">
        <f>SUM('20231207预算'!F278,'20231207预算'!F286,'20231207预算'!F290,'20231207预算'!F294)</f>
        <v>16750</v>
      </c>
      <c r="F9" s="543"/>
      <c r="G9" s="544">
        <v>1</v>
      </c>
      <c r="H9" s="546"/>
      <c r="I9" s="589" t="s">
        <v>335</v>
      </c>
      <c r="J9" s="590" t="s">
        <v>79</v>
      </c>
      <c r="K9" s="591" t="s">
        <v>180</v>
      </c>
      <c r="L9" s="584" t="s">
        <v>1199</v>
      </c>
      <c r="M9" s="584" t="s">
        <v>830</v>
      </c>
      <c r="N9" s="585">
        <v>24</v>
      </c>
      <c r="O9" s="588" t="s">
        <v>1200</v>
      </c>
      <c r="P9" s="588" t="s">
        <v>1200</v>
      </c>
      <c r="Q9" s="612" t="s">
        <v>1215</v>
      </c>
    </row>
    <row r="10" spans="1:18">
      <c r="A10" s="539">
        <v>7</v>
      </c>
      <c r="B10" s="540" t="s">
        <v>1216</v>
      </c>
      <c r="C10" s="541" t="s">
        <v>1217</v>
      </c>
      <c r="D10" s="542" t="s">
        <v>1198</v>
      </c>
      <c r="E10" s="545">
        <f>SUM('20231207预算'!F305,'20231207预算'!F52,'20231207预算'!F62,'20231207预算'!F72)</f>
        <v>23095.323970000001</v>
      </c>
      <c r="F10" s="543"/>
      <c r="G10" s="544">
        <v>1</v>
      </c>
      <c r="H10" s="544"/>
      <c r="I10" s="589" t="s">
        <v>335</v>
      </c>
      <c r="J10" s="540" t="s">
        <v>79</v>
      </c>
      <c r="K10" s="583" t="s">
        <v>336</v>
      </c>
      <c r="L10" s="584" t="s">
        <v>1199</v>
      </c>
      <c r="M10" s="584" t="s">
        <v>1204</v>
      </c>
      <c r="N10" s="585">
        <v>24</v>
      </c>
      <c r="O10" s="588" t="s">
        <v>1200</v>
      </c>
      <c r="P10" s="588" t="s">
        <v>1200</v>
      </c>
      <c r="Q10" s="612"/>
    </row>
    <row r="11" spans="1:18" s="532" customFormat="1">
      <c r="A11" s="547">
        <v>8</v>
      </c>
      <c r="B11" s="548" t="s">
        <v>1218</v>
      </c>
      <c r="C11" s="549" t="s">
        <v>1219</v>
      </c>
      <c r="D11" s="550" t="s">
        <v>1198</v>
      </c>
      <c r="E11" s="551">
        <f>'20231207预算'!F161+'20231207预算'!F173+'20231207预算'!F185+'20231207预算'!F197</f>
        <v>24900.377000000004</v>
      </c>
      <c r="F11" s="551"/>
      <c r="G11" s="552">
        <v>1</v>
      </c>
      <c r="H11" s="552"/>
      <c r="I11" s="592" t="s">
        <v>335</v>
      </c>
      <c r="J11" s="593" t="s">
        <v>79</v>
      </c>
      <c r="K11" s="594" t="s">
        <v>180</v>
      </c>
      <c r="L11" s="595" t="s">
        <v>834</v>
      </c>
      <c r="M11" s="595" t="s">
        <v>837</v>
      </c>
      <c r="N11" s="596">
        <v>24</v>
      </c>
      <c r="O11" s="597" t="s">
        <v>1200</v>
      </c>
      <c r="P11" s="597" t="s">
        <v>1200</v>
      </c>
      <c r="Q11" s="612" t="s">
        <v>1220</v>
      </c>
    </row>
    <row r="12" spans="1:18" s="531" customFormat="1">
      <c r="A12" s="547">
        <v>9</v>
      </c>
      <c r="B12" s="548" t="s">
        <v>1221</v>
      </c>
      <c r="C12" s="549" t="s">
        <v>1222</v>
      </c>
      <c r="D12" s="550" t="s">
        <v>1198</v>
      </c>
      <c r="E12" s="551">
        <f>'20231207预算'!F210</f>
        <v>59738.65</v>
      </c>
      <c r="F12" s="551"/>
      <c r="G12" s="552">
        <v>1</v>
      </c>
      <c r="H12" s="552"/>
      <c r="I12" s="592" t="s">
        <v>335</v>
      </c>
      <c r="J12" s="593" t="s">
        <v>79</v>
      </c>
      <c r="K12" s="594" t="s">
        <v>180</v>
      </c>
      <c r="L12" s="595" t="s">
        <v>837</v>
      </c>
      <c r="M12" s="595" t="s">
        <v>853</v>
      </c>
      <c r="N12" s="596">
        <v>30</v>
      </c>
      <c r="O12" s="597" t="s">
        <v>1200</v>
      </c>
      <c r="P12" s="597" t="s">
        <v>1200</v>
      </c>
      <c r="Q12" s="612" t="s">
        <v>1223</v>
      </c>
      <c r="R12" s="532"/>
    </row>
    <row r="13" spans="1:18">
      <c r="A13" s="547">
        <v>10</v>
      </c>
      <c r="B13" s="548" t="s">
        <v>1224</v>
      </c>
      <c r="C13" s="549" t="s">
        <v>1225</v>
      </c>
      <c r="D13" s="550" t="s">
        <v>1198</v>
      </c>
      <c r="E13" s="551">
        <f>'20231207预算'!F282</f>
        <v>8800</v>
      </c>
      <c r="F13" s="553"/>
      <c r="G13" s="554">
        <v>1</v>
      </c>
      <c r="H13" s="552"/>
      <c r="I13" s="592" t="s">
        <v>335</v>
      </c>
      <c r="J13" s="593" t="s">
        <v>79</v>
      </c>
      <c r="K13" s="594" t="s">
        <v>336</v>
      </c>
      <c r="L13" s="595" t="s">
        <v>837</v>
      </c>
      <c r="M13" s="595" t="s">
        <v>852</v>
      </c>
      <c r="N13" s="596">
        <v>24</v>
      </c>
      <c r="O13" s="597" t="s">
        <v>1200</v>
      </c>
      <c r="P13" s="597" t="s">
        <v>1200</v>
      </c>
      <c r="Q13" s="612"/>
    </row>
    <row r="14" spans="1:18">
      <c r="A14" s="555">
        <v>11</v>
      </c>
      <c r="B14" s="556" t="s">
        <v>1226</v>
      </c>
      <c r="C14" s="557" t="s">
        <v>1227</v>
      </c>
      <c r="D14" s="558" t="s">
        <v>1198</v>
      </c>
      <c r="E14" s="559">
        <f>'20231207预算'!F313</f>
        <v>6204.8260050000008</v>
      </c>
      <c r="F14" s="560"/>
      <c r="G14" s="561">
        <v>1</v>
      </c>
      <c r="H14" s="561"/>
      <c r="I14" s="598" t="s">
        <v>335</v>
      </c>
      <c r="J14" s="556" t="s">
        <v>79</v>
      </c>
      <c r="K14" s="599" t="s">
        <v>336</v>
      </c>
      <c r="L14" s="600" t="s">
        <v>1228</v>
      </c>
      <c r="M14" s="600" t="s">
        <v>1229</v>
      </c>
      <c r="N14" s="601">
        <v>18</v>
      </c>
      <c r="O14" s="602" t="s">
        <v>1200</v>
      </c>
      <c r="P14" s="602" t="s">
        <v>1200</v>
      </c>
      <c r="Q14" s="612"/>
    </row>
    <row r="15" spans="1:18">
      <c r="A15" s="562">
        <v>12</v>
      </c>
      <c r="B15" s="563" t="s">
        <v>1230</v>
      </c>
      <c r="C15" s="564" t="s">
        <v>1231</v>
      </c>
      <c r="D15" s="565" t="s">
        <v>1198</v>
      </c>
      <c r="E15" s="566">
        <f>'工艺设备投资(前表4.2))_20231212'!C21</f>
        <v>7000</v>
      </c>
      <c r="F15" s="567"/>
      <c r="G15" s="568">
        <v>1</v>
      </c>
      <c r="H15" s="568"/>
      <c r="I15" s="603" t="s">
        <v>427</v>
      </c>
      <c r="J15" s="563" t="s">
        <v>79</v>
      </c>
      <c r="K15" s="604" t="s">
        <v>180</v>
      </c>
      <c r="L15" s="605" t="s">
        <v>1199</v>
      </c>
      <c r="M15" s="605" t="s">
        <v>1204</v>
      </c>
      <c r="N15" s="606">
        <v>24</v>
      </c>
      <c r="O15" s="607" t="s">
        <v>736</v>
      </c>
      <c r="P15" s="607" t="s">
        <v>736</v>
      </c>
      <c r="Q15" s="612"/>
    </row>
    <row r="16" spans="1:18">
      <c r="A16" s="563">
        <v>13</v>
      </c>
      <c r="B16" s="563" t="s">
        <v>1232</v>
      </c>
      <c r="C16" s="564" t="s">
        <v>1233</v>
      </c>
      <c r="D16" s="565" t="s">
        <v>1198</v>
      </c>
      <c r="E16" s="566">
        <f>'工艺设备投资(前表4.2))_20231212'!C14+'工艺设备投资(前表4.2))_20231212'!C18</f>
        <v>2751</v>
      </c>
      <c r="F16" s="567"/>
      <c r="G16" s="568">
        <v>1</v>
      </c>
      <c r="H16" s="568"/>
      <c r="I16" s="608" t="s">
        <v>427</v>
      </c>
      <c r="J16" s="563" t="s">
        <v>79</v>
      </c>
      <c r="K16" s="604" t="s">
        <v>336</v>
      </c>
      <c r="L16" s="605" t="s">
        <v>1199</v>
      </c>
      <c r="M16" s="605" t="s">
        <v>1204</v>
      </c>
      <c r="N16" s="606">
        <v>24</v>
      </c>
      <c r="O16" s="607" t="s">
        <v>1200</v>
      </c>
      <c r="P16" s="607" t="s">
        <v>1200</v>
      </c>
      <c r="Q16" s="612" t="s">
        <v>1234</v>
      </c>
    </row>
    <row r="17" spans="1:17">
      <c r="A17" s="563">
        <v>14</v>
      </c>
      <c r="B17" s="563" t="s">
        <v>1235</v>
      </c>
      <c r="C17" s="564" t="s">
        <v>1236</v>
      </c>
      <c r="D17" s="565" t="s">
        <v>1198</v>
      </c>
      <c r="E17" s="566">
        <f>'工艺设备投资(前表4.2))_20231212'!C15+'工艺设备投资(前表4.2))_20231212'!C19</f>
        <v>4026</v>
      </c>
      <c r="F17" s="567"/>
      <c r="G17" s="568">
        <v>1</v>
      </c>
      <c r="H17" s="568"/>
      <c r="I17" s="608" t="s">
        <v>427</v>
      </c>
      <c r="J17" s="563" t="s">
        <v>79</v>
      </c>
      <c r="K17" s="604" t="s">
        <v>336</v>
      </c>
      <c r="L17" s="605" t="s">
        <v>1199</v>
      </c>
      <c r="M17" s="605" t="s">
        <v>1204</v>
      </c>
      <c r="N17" s="606">
        <v>24</v>
      </c>
      <c r="O17" s="607" t="s">
        <v>1200</v>
      </c>
      <c r="P17" s="607" t="s">
        <v>1200</v>
      </c>
      <c r="Q17" s="612" t="s">
        <v>1237</v>
      </c>
    </row>
    <row r="18" spans="1:17">
      <c r="A18" s="563">
        <v>15</v>
      </c>
      <c r="B18" s="563" t="s">
        <v>1238</v>
      </c>
      <c r="C18" s="564" t="s">
        <v>1239</v>
      </c>
      <c r="D18" s="565" t="s">
        <v>1198</v>
      </c>
      <c r="E18" s="566">
        <f>'工艺设备投资(前表4.2))_20231212'!C16+'工艺设备投资(前表4.2))_20231212'!C20</f>
        <v>2237</v>
      </c>
      <c r="F18" s="567"/>
      <c r="G18" s="568">
        <v>1</v>
      </c>
      <c r="H18" s="568"/>
      <c r="I18" s="608" t="s">
        <v>427</v>
      </c>
      <c r="J18" s="563" t="s">
        <v>79</v>
      </c>
      <c r="K18" s="604" t="s">
        <v>336</v>
      </c>
      <c r="L18" s="605" t="s">
        <v>1199</v>
      </c>
      <c r="M18" s="605" t="s">
        <v>1204</v>
      </c>
      <c r="N18" s="606">
        <v>24</v>
      </c>
      <c r="O18" s="607" t="s">
        <v>1200</v>
      </c>
      <c r="P18" s="607" t="s">
        <v>1200</v>
      </c>
      <c r="Q18" s="612" t="s">
        <v>1240</v>
      </c>
    </row>
    <row r="19" spans="1:17">
      <c r="A19" s="563">
        <v>16</v>
      </c>
      <c r="B19" s="563" t="s">
        <v>1241</v>
      </c>
      <c r="C19" s="569" t="s">
        <v>1242</v>
      </c>
      <c r="D19" s="565" t="s">
        <v>1198</v>
      </c>
      <c r="E19" s="566">
        <f>'工艺设备投资(前表4.2))_20231212'!C24</f>
        <v>5186</v>
      </c>
      <c r="F19" s="567"/>
      <c r="G19" s="568">
        <v>1</v>
      </c>
      <c r="H19" s="568"/>
      <c r="I19" s="608" t="s">
        <v>427</v>
      </c>
      <c r="J19" s="563" t="s">
        <v>79</v>
      </c>
      <c r="K19" s="604" t="s">
        <v>180</v>
      </c>
      <c r="L19" s="605" t="s">
        <v>852</v>
      </c>
      <c r="M19" s="605" t="s">
        <v>844</v>
      </c>
      <c r="N19" s="606">
        <v>24</v>
      </c>
      <c r="O19" s="607" t="s">
        <v>1200</v>
      </c>
      <c r="P19" s="607" t="s">
        <v>1200</v>
      </c>
      <c r="Q19" s="612" t="s">
        <v>1240</v>
      </c>
    </row>
    <row r="20" spans="1:17">
      <c r="A20" s="563">
        <v>17</v>
      </c>
      <c r="B20" s="563" t="s">
        <v>1243</v>
      </c>
      <c r="C20" s="463" t="s">
        <v>1244</v>
      </c>
      <c r="D20" s="565" t="s">
        <v>1198</v>
      </c>
      <c r="E20" s="566">
        <v>3065.84</v>
      </c>
      <c r="F20" s="567"/>
      <c r="G20" s="568">
        <v>1</v>
      </c>
      <c r="H20" s="568"/>
      <c r="I20" s="608" t="s">
        <v>427</v>
      </c>
      <c r="J20" s="563" t="s">
        <v>1245</v>
      </c>
      <c r="K20" s="604" t="s">
        <v>180</v>
      </c>
      <c r="L20" s="605" t="s">
        <v>1199</v>
      </c>
      <c r="M20" s="605" t="s">
        <v>830</v>
      </c>
      <c r="N20" s="606">
        <v>24</v>
      </c>
      <c r="O20" s="607" t="s">
        <v>1200</v>
      </c>
      <c r="P20" s="607" t="s">
        <v>1200</v>
      </c>
      <c r="Q20" s="612"/>
    </row>
    <row r="21" spans="1:17">
      <c r="A21" s="563">
        <v>19</v>
      </c>
      <c r="B21" s="563" t="s">
        <v>1246</v>
      </c>
      <c r="C21" s="570" t="s">
        <v>1247</v>
      </c>
      <c r="D21" s="565" t="s">
        <v>1198</v>
      </c>
      <c r="E21" s="566">
        <f>'20231207预算'!F363</f>
        <v>2311.321123405</v>
      </c>
      <c r="F21" s="567"/>
      <c r="G21" s="568">
        <v>1</v>
      </c>
      <c r="H21" s="568"/>
      <c r="I21" s="608" t="s">
        <v>1248</v>
      </c>
      <c r="J21" s="563" t="s">
        <v>1245</v>
      </c>
      <c r="K21" s="604" t="s">
        <v>180</v>
      </c>
      <c r="L21" s="605" t="s">
        <v>1199</v>
      </c>
      <c r="M21" s="605" t="s">
        <v>830</v>
      </c>
      <c r="N21" s="606">
        <v>60</v>
      </c>
      <c r="O21" s="607" t="s">
        <v>1200</v>
      </c>
      <c r="P21" s="607" t="s">
        <v>1200</v>
      </c>
      <c r="Q21" s="612"/>
    </row>
    <row r="22" spans="1:17" ht="24">
      <c r="A22" s="563">
        <v>20</v>
      </c>
      <c r="B22" s="563" t="s">
        <v>1249</v>
      </c>
      <c r="C22" s="569" t="s">
        <v>1250</v>
      </c>
      <c r="D22" s="565" t="s">
        <v>1198</v>
      </c>
      <c r="E22" s="566">
        <v>500</v>
      </c>
      <c r="F22" s="567"/>
      <c r="G22" s="568">
        <v>1</v>
      </c>
      <c r="H22" s="568"/>
      <c r="I22" s="608" t="s">
        <v>1248</v>
      </c>
      <c r="J22" s="563" t="s">
        <v>1245</v>
      </c>
      <c r="K22" s="604" t="s">
        <v>180</v>
      </c>
      <c r="L22" s="605" t="s">
        <v>1251</v>
      </c>
      <c r="M22" s="605" t="s">
        <v>1204</v>
      </c>
      <c r="N22" s="606">
        <v>36</v>
      </c>
      <c r="O22" s="607" t="s">
        <v>736</v>
      </c>
      <c r="P22" s="607" t="s">
        <v>1200</v>
      </c>
      <c r="Q22" s="612" t="s">
        <v>1252</v>
      </c>
    </row>
    <row r="23" spans="1:17">
      <c r="A23" s="563">
        <v>21</v>
      </c>
      <c r="B23" s="563" t="s">
        <v>1253</v>
      </c>
      <c r="C23" s="569" t="s">
        <v>1254</v>
      </c>
      <c r="D23" s="565" t="s">
        <v>1198</v>
      </c>
      <c r="E23" s="566">
        <v>1000</v>
      </c>
      <c r="F23" s="567"/>
      <c r="G23" s="568">
        <v>1</v>
      </c>
      <c r="H23" s="568"/>
      <c r="I23" s="608" t="s">
        <v>1248</v>
      </c>
      <c r="J23" s="563" t="s">
        <v>79</v>
      </c>
      <c r="K23" s="604" t="s">
        <v>180</v>
      </c>
      <c r="L23" s="605" t="s">
        <v>1251</v>
      </c>
      <c r="M23" s="605" t="s">
        <v>1204</v>
      </c>
      <c r="N23" s="606">
        <v>60</v>
      </c>
      <c r="O23" s="607" t="s">
        <v>736</v>
      </c>
      <c r="P23" s="607" t="s">
        <v>1200</v>
      </c>
      <c r="Q23" s="612"/>
    </row>
    <row r="24" spans="1:17">
      <c r="D24" s="571" t="s">
        <v>523</v>
      </c>
      <c r="E24" s="572">
        <f>SUM(E4:E23)</f>
        <v>334870.91303840507</v>
      </c>
      <c r="F24" s="573"/>
      <c r="O24" s="609"/>
      <c r="P24" s="609"/>
      <c r="Q24" s="613" t="s">
        <v>1255</v>
      </c>
    </row>
    <row r="25" spans="1:17">
      <c r="D25" s="571" t="s">
        <v>1256</v>
      </c>
      <c r="E25" s="574">
        <f>SUM(E4:E19)</f>
        <v>327993.75191500003</v>
      </c>
      <c r="F25" s="575">
        <f>E25*0.8</f>
        <v>262395.00153200002</v>
      </c>
      <c r="G25" s="576">
        <v>0.2</v>
      </c>
    </row>
    <row r="26" spans="1:17">
      <c r="D26" s="571" t="s">
        <v>1257</v>
      </c>
      <c r="E26" s="574">
        <f>SUM(E11:E19)</f>
        <v>120843.853005</v>
      </c>
      <c r="F26" s="575">
        <f>E26</f>
        <v>120843.853005</v>
      </c>
      <c r="G26" s="576">
        <v>1</v>
      </c>
    </row>
    <row r="27" spans="1:17">
      <c r="D27" s="571" t="s">
        <v>1258</v>
      </c>
      <c r="E27" s="574">
        <f>SUM(E20:E23)</f>
        <v>6877.1611234049997</v>
      </c>
      <c r="F27" s="575">
        <f>E27</f>
        <v>6877.1611234049997</v>
      </c>
      <c r="G27" s="576">
        <v>1</v>
      </c>
    </row>
    <row r="28" spans="1:17">
      <c r="D28" s="577"/>
      <c r="E28" s="574">
        <f>SUM(E25:E27)</f>
        <v>455714.76604340499</v>
      </c>
      <c r="F28" s="575">
        <f>SUM(F24:F27)</f>
        <v>390116.01566040498</v>
      </c>
      <c r="G28" s="576"/>
    </row>
    <row r="29" spans="1:17">
      <c r="D29" s="578"/>
      <c r="E29" s="579"/>
      <c r="F29" s="580">
        <f>F28/7.2</f>
        <v>54182.779952834026</v>
      </c>
      <c r="G29" s="581" t="s">
        <v>1259</v>
      </c>
    </row>
    <row r="30" spans="1:17">
      <c r="E30" s="579"/>
      <c r="F30" s="573"/>
    </row>
    <row r="31" spans="1:17">
      <c r="F31" s="573"/>
    </row>
    <row r="32" spans="1:17">
      <c r="F32" s="573"/>
    </row>
  </sheetData>
  <mergeCells count="16">
    <mergeCell ref="A1:Q1"/>
    <mergeCell ref="E2:F2"/>
    <mergeCell ref="G2:H2"/>
    <mergeCell ref="A2:A3"/>
    <mergeCell ref="B2:B3"/>
    <mergeCell ref="C2:C3"/>
    <mergeCell ref="D2:D3"/>
    <mergeCell ref="I2:I3"/>
    <mergeCell ref="J2:J3"/>
    <mergeCell ref="K2:K3"/>
    <mergeCell ref="L2:L3"/>
    <mergeCell ref="M2:M3"/>
    <mergeCell ref="N2:N3"/>
    <mergeCell ref="O2:O3"/>
    <mergeCell ref="P2:P3"/>
    <mergeCell ref="Q2:Q3"/>
  </mergeCells>
  <pageMargins left="0.75" right="0.75" top="0.6" bottom="0.6" header="0.50902777777777797" footer="0.50902777777777797"/>
  <pageSetup paperSize="9" scale="70" fitToHeight="0" orientation="landscape"/>
  <headerFooter alignWithMargins="0">
    <oddHeader>&amp;R&amp;"Calibri"&amp;12&amp;K000000*OFFICIAL USE ONLY&amp;1#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403"/>
  <sheetViews>
    <sheetView topLeftCell="A337" workbookViewId="0">
      <selection sqref="A1:Q1"/>
    </sheetView>
  </sheetViews>
  <sheetFormatPr defaultColWidth="9" defaultRowHeight="14.4"/>
  <cols>
    <col min="1" max="1" width="8.88671875" style="80" customWidth="1"/>
    <col min="2" max="2" width="18.33203125" style="80" customWidth="1"/>
    <col min="3" max="3" width="10.33203125" style="80" customWidth="1"/>
    <col min="4" max="4" width="8.88671875" style="80" customWidth="1"/>
    <col min="5" max="5" width="20.77734375" style="80" customWidth="1"/>
    <col min="6" max="6" width="10.109375" style="80" customWidth="1"/>
    <col min="7" max="7" width="9.44140625" style="80" hidden="1" customWidth="1"/>
    <col min="8" max="11" width="9" style="80" hidden="1" customWidth="1"/>
    <col min="12" max="12" width="9.109375" style="80" hidden="1" customWidth="1"/>
    <col min="13" max="13" width="8.88671875" style="80" hidden="1" customWidth="1"/>
    <col min="14" max="14" width="8.77734375" style="80" customWidth="1"/>
    <col min="15" max="18" width="8.77734375" style="80"/>
    <col min="19" max="22" width="8.88671875" style="80" customWidth="1"/>
    <col min="23" max="25" width="8.77734375" style="80"/>
  </cols>
  <sheetData>
    <row r="1" spans="1:25" s="238" customFormat="1" ht="24" customHeight="1">
      <c r="A1" s="255"/>
      <c r="B1" s="1164" t="s">
        <v>1260</v>
      </c>
      <c r="C1" s="1164"/>
      <c r="D1" s="1164"/>
      <c r="E1" s="1164"/>
      <c r="F1" s="1164"/>
      <c r="G1" s="1164"/>
      <c r="H1" s="1164"/>
      <c r="I1" s="1165"/>
      <c r="J1" s="1165"/>
      <c r="K1" s="1165"/>
      <c r="L1" s="1165"/>
      <c r="M1" s="1166"/>
      <c r="N1" s="300"/>
      <c r="O1" s="300"/>
      <c r="P1" s="300"/>
      <c r="Q1" s="300"/>
      <c r="R1" s="340"/>
      <c r="S1" s="341"/>
      <c r="T1" s="341"/>
      <c r="U1" s="341"/>
      <c r="V1" s="341"/>
      <c r="W1" s="341"/>
      <c r="X1" s="341"/>
      <c r="Y1" s="341"/>
    </row>
    <row r="2" spans="1:25" s="238" customFormat="1" ht="16.5" customHeight="1">
      <c r="A2" s="1167" t="s">
        <v>1261</v>
      </c>
      <c r="B2" s="1168"/>
      <c r="C2" s="1168"/>
      <c r="D2" s="1168"/>
      <c r="E2" s="1168"/>
      <c r="F2" s="1168"/>
      <c r="G2" s="1168"/>
      <c r="H2" s="1168"/>
      <c r="I2" s="1169"/>
      <c r="J2" s="1169"/>
      <c r="K2" s="1169"/>
      <c r="L2" s="1169"/>
      <c r="M2" s="1170"/>
      <c r="N2" s="301"/>
      <c r="O2" s="301"/>
      <c r="P2" s="301"/>
      <c r="Q2" s="301"/>
      <c r="R2" s="342"/>
      <c r="S2" s="341"/>
      <c r="T2" s="341"/>
      <c r="U2" s="341"/>
      <c r="V2" s="341"/>
      <c r="W2" s="341"/>
      <c r="X2" s="341"/>
      <c r="Y2" s="341"/>
    </row>
    <row r="3" spans="1:25" s="238" customFormat="1" ht="18" customHeight="1">
      <c r="A3" s="1186" t="s">
        <v>1262</v>
      </c>
      <c r="B3" s="1187" t="s">
        <v>1263</v>
      </c>
      <c r="C3" s="1171" t="s">
        <v>1264</v>
      </c>
      <c r="D3" s="1171"/>
      <c r="E3" s="1171"/>
      <c r="F3" s="1171"/>
      <c r="G3" s="1172" t="s">
        <v>1265</v>
      </c>
      <c r="H3" s="1173"/>
      <c r="I3" s="1174"/>
      <c r="J3" s="1174"/>
      <c r="K3" s="1175" t="s">
        <v>1266</v>
      </c>
      <c r="L3" s="1175"/>
      <c r="M3" s="1193" t="s">
        <v>1267</v>
      </c>
      <c r="N3" s="300"/>
      <c r="O3" s="300"/>
      <c r="P3" s="300"/>
      <c r="Q3" s="300"/>
      <c r="R3" s="340"/>
      <c r="S3" s="343"/>
      <c r="T3" s="341"/>
      <c r="U3" s="341"/>
      <c r="V3" s="341"/>
      <c r="W3" s="341"/>
      <c r="X3" s="341"/>
      <c r="Y3" s="341"/>
    </row>
    <row r="4" spans="1:25" s="239" customFormat="1" ht="13.8">
      <c r="A4" s="1186"/>
      <c r="B4" s="1188"/>
      <c r="C4" s="261" t="s">
        <v>1268</v>
      </c>
      <c r="D4" s="261" t="s">
        <v>1269</v>
      </c>
      <c r="E4" s="261" t="s">
        <v>1270</v>
      </c>
      <c r="F4" s="261" t="s">
        <v>1271</v>
      </c>
      <c r="G4" s="1171" t="s">
        <v>1272</v>
      </c>
      <c r="H4" s="1171"/>
      <c r="I4" s="1175" t="s">
        <v>1273</v>
      </c>
      <c r="J4" s="1175"/>
      <c r="K4" s="1175"/>
      <c r="L4" s="1175"/>
      <c r="M4" s="1193"/>
      <c r="N4" s="300"/>
      <c r="O4" s="300"/>
      <c r="P4" s="300"/>
      <c r="Q4" s="300"/>
      <c r="R4" s="340"/>
      <c r="S4" s="256"/>
      <c r="T4" s="344"/>
      <c r="U4" s="344"/>
      <c r="V4" s="344"/>
      <c r="W4" s="344"/>
      <c r="X4" s="344"/>
      <c r="Y4" s="360"/>
    </row>
    <row r="5" spans="1:25" s="240" customFormat="1" ht="13.8">
      <c r="A5" s="262" t="s">
        <v>1274</v>
      </c>
      <c r="B5" s="262" t="s">
        <v>1275</v>
      </c>
      <c r="C5" s="263">
        <f>C6+C73+C209+C277+C260+C323+C324</f>
        <v>290573.78981500003</v>
      </c>
      <c r="D5" s="263">
        <f>D6+D73+D209+D277+D260+D323+D324</f>
        <v>38258.9421</v>
      </c>
      <c r="E5" s="263">
        <f>E6+E73+E209+E277+E260+E323+E324</f>
        <v>1356</v>
      </c>
      <c r="F5" s="263">
        <f>SUM(C5:E5)</f>
        <v>330188.73191500001</v>
      </c>
      <c r="G5" s="1176"/>
      <c r="H5" s="1177"/>
      <c r="I5" s="1178"/>
      <c r="J5" s="1178"/>
      <c r="K5" s="1179" t="s">
        <v>1276</v>
      </c>
      <c r="L5" s="1180"/>
      <c r="M5" s="308">
        <f ca="1">F5/$F$378*100%</f>
        <v>0.731929921993143</v>
      </c>
      <c r="N5" s="309"/>
      <c r="O5" s="309"/>
      <c r="P5" s="309"/>
      <c r="Q5" s="309"/>
      <c r="R5" s="345"/>
      <c r="S5" s="346">
        <v>43503.385999999999</v>
      </c>
      <c r="T5" s="347"/>
      <c r="U5" s="347"/>
      <c r="V5" s="347"/>
      <c r="W5" s="347"/>
      <c r="X5" s="347"/>
      <c r="Y5" s="361"/>
    </row>
    <row r="6" spans="1:25" s="239" customFormat="1" ht="13.8">
      <c r="A6" s="264">
        <v>1</v>
      </c>
      <c r="B6" s="264" t="s">
        <v>1277</v>
      </c>
      <c r="C6" s="265">
        <f>C7+C8+C21+C34+C47+C48+C49+C50+C51+C52+C61+C62+C71+C72</f>
        <v>46655.901000000005</v>
      </c>
      <c r="D6" s="265">
        <f>D7+D8+D21+D34+D47+D48+D49+D50+D51+D52+D61+D62+D71+D72</f>
        <v>14758.987599999999</v>
      </c>
      <c r="E6" s="265">
        <f>E7+E8+E21+E34+E47+E48+E49+E50+E51+E52+E61+E62+E71+E72</f>
        <v>0</v>
      </c>
      <c r="F6" s="263">
        <f>SUM(C6:E6)</f>
        <v>61414.888600000006</v>
      </c>
      <c r="G6" s="266"/>
      <c r="H6" s="258"/>
      <c r="I6" s="310"/>
      <c r="J6" s="303"/>
      <c r="K6" s="306"/>
      <c r="L6" s="307"/>
      <c r="M6" s="304">
        <f ca="1">F6/$F$378*100%</f>
        <v>0.102234623546843</v>
      </c>
      <c r="N6" s="311"/>
      <c r="O6" s="311"/>
      <c r="P6" s="311"/>
      <c r="Q6" s="300"/>
      <c r="R6" s="340"/>
      <c r="S6" s="256"/>
      <c r="T6" s="344"/>
      <c r="U6" s="344"/>
      <c r="V6" s="344"/>
      <c r="W6" s="344"/>
      <c r="X6" s="344"/>
      <c r="Y6" s="360"/>
    </row>
    <row r="7" spans="1:25" s="241" customFormat="1" ht="13.8" hidden="1">
      <c r="A7" s="267"/>
      <c r="B7" s="268"/>
      <c r="C7" s="269"/>
      <c r="D7" s="270"/>
      <c r="E7" s="270"/>
      <c r="F7" s="270"/>
      <c r="G7" s="271"/>
      <c r="H7" s="272"/>
      <c r="I7" s="312"/>
      <c r="J7" s="313"/>
      <c r="K7" s="314"/>
      <c r="L7" s="315"/>
      <c r="M7" s="316"/>
      <c r="N7" s="317"/>
      <c r="O7" s="317"/>
      <c r="P7" s="317"/>
      <c r="Q7" s="348"/>
      <c r="R7" s="349"/>
      <c r="S7" s="350"/>
      <c r="T7" s="351"/>
      <c r="U7" s="351"/>
      <c r="V7" s="351"/>
      <c r="W7" s="351"/>
      <c r="X7" s="351"/>
      <c r="Y7" s="362"/>
    </row>
    <row r="8" spans="1:25" s="242" customFormat="1" ht="13.8">
      <c r="A8" s="273">
        <v>1.2</v>
      </c>
      <c r="B8" s="274" t="s">
        <v>1278</v>
      </c>
      <c r="C8" s="275">
        <f>SUM(C9:C20)</f>
        <v>11029.588000000002</v>
      </c>
      <c r="D8" s="275">
        <f>SUM(D9:D20)</f>
        <v>6461.8927999999996</v>
      </c>
      <c r="E8" s="275">
        <f>SUM(E9:E20)</f>
        <v>0</v>
      </c>
      <c r="F8" s="276">
        <f t="shared" ref="F8:F46" si="0">SUM(C8:E8)</f>
        <v>17491.480800000001</v>
      </c>
      <c r="G8" s="277">
        <v>19474</v>
      </c>
      <c r="H8" s="278" t="s">
        <v>1279</v>
      </c>
      <c r="I8" s="318">
        <f>F8/G8</f>
        <v>0.89819661086576985</v>
      </c>
      <c r="J8" s="319"/>
      <c r="K8" s="320"/>
      <c r="L8" s="321"/>
      <c r="M8" s="322">
        <f t="shared" ref="M8:M46" ca="1" si="1">F8/$F$378*100%</f>
        <v>2.4179200419364302E-2</v>
      </c>
      <c r="N8" s="323"/>
      <c r="O8" s="323"/>
      <c r="P8" s="323"/>
      <c r="Q8" s="352"/>
      <c r="R8" s="353"/>
      <c r="S8" s="354"/>
      <c r="T8" s="355"/>
      <c r="U8" s="355"/>
      <c r="V8" s="355"/>
      <c r="W8" s="355"/>
      <c r="X8" s="355"/>
      <c r="Y8" s="363"/>
    </row>
    <row r="9" spans="1:25" s="239" customFormat="1" ht="13.8">
      <c r="A9" s="279" t="s">
        <v>162</v>
      </c>
      <c r="B9" s="280" t="s">
        <v>1280</v>
      </c>
      <c r="C9" s="281">
        <f>G9*I9</f>
        <v>435.73199999999997</v>
      </c>
      <c r="D9" s="281"/>
      <c r="E9" s="281"/>
      <c r="F9" s="282">
        <f t="shared" si="0"/>
        <v>435.73199999999997</v>
      </c>
      <c r="G9" s="283">
        <v>21786.6</v>
      </c>
      <c r="H9" s="260" t="s">
        <v>1279</v>
      </c>
      <c r="I9" s="324">
        <v>0.02</v>
      </c>
      <c r="J9" s="306"/>
      <c r="K9" s="305"/>
      <c r="L9" s="307"/>
      <c r="M9" s="308">
        <f t="shared" ca="1" si="1"/>
        <v>9.4748576630091202E-4</v>
      </c>
      <c r="N9" s="325"/>
      <c r="O9" s="325"/>
      <c r="P9" s="325"/>
      <c r="Q9" s="309"/>
      <c r="R9" s="345"/>
      <c r="S9" s="256"/>
      <c r="T9" s="344"/>
      <c r="U9" s="344"/>
      <c r="V9" s="344"/>
      <c r="W9" s="344"/>
      <c r="X9" s="344"/>
      <c r="Y9" s="360"/>
    </row>
    <row r="10" spans="1:25" s="239" customFormat="1" ht="13.8">
      <c r="A10" s="284" t="s">
        <v>164</v>
      </c>
      <c r="B10" s="285" t="s">
        <v>1281</v>
      </c>
      <c r="C10" s="286">
        <f>G10*I10</f>
        <v>97.37</v>
      </c>
      <c r="D10" s="287"/>
      <c r="E10" s="287"/>
      <c r="F10" s="282">
        <f t="shared" si="0"/>
        <v>97.37</v>
      </c>
      <c r="G10" s="288">
        <f>G8</f>
        <v>19474</v>
      </c>
      <c r="H10" s="289" t="s">
        <v>1279</v>
      </c>
      <c r="I10" s="326">
        <v>5.0000000000000001E-3</v>
      </c>
      <c r="J10" s="327"/>
      <c r="K10" s="328"/>
      <c r="L10" s="329">
        <v>1.5151408543577E-4</v>
      </c>
      <c r="M10" s="308">
        <f t="shared" ca="1" si="1"/>
        <v>2.1172805546693801E-4</v>
      </c>
      <c r="N10" s="330"/>
      <c r="O10" s="325"/>
      <c r="P10" s="325"/>
      <c r="Q10" s="309"/>
      <c r="R10" s="345"/>
      <c r="S10" s="256"/>
      <c r="T10" s="344"/>
      <c r="U10" s="344"/>
      <c r="V10" s="344"/>
      <c r="W10" s="344"/>
      <c r="X10" s="344"/>
      <c r="Y10" s="360"/>
    </row>
    <row r="11" spans="1:25" s="239" customFormat="1" ht="13.8">
      <c r="A11" s="284" t="s">
        <v>166</v>
      </c>
      <c r="B11" s="285" t="s">
        <v>1282</v>
      </c>
      <c r="C11" s="286">
        <f t="shared" ref="C11:C20" si="2">G11*I11</f>
        <v>116.84400000000001</v>
      </c>
      <c r="D11" s="287"/>
      <c r="E11" s="287"/>
      <c r="F11" s="282">
        <f t="shared" si="0"/>
        <v>116.84400000000001</v>
      </c>
      <c r="G11" s="288">
        <f t="shared" ref="G11:G16" si="3">G10</f>
        <v>19474</v>
      </c>
      <c r="H11" s="289" t="s">
        <v>1279</v>
      </c>
      <c r="I11" s="326">
        <v>6.0000000000000001E-3</v>
      </c>
      <c r="J11" s="327"/>
      <c r="K11" s="328"/>
      <c r="L11" s="329">
        <v>1.81816902522925E-4</v>
      </c>
      <c r="M11" s="308">
        <f t="shared" ca="1" si="1"/>
        <v>2.5407366656032598E-4</v>
      </c>
      <c r="N11" s="325"/>
      <c r="O11" s="325"/>
      <c r="P11" s="325"/>
      <c r="Q11" s="309"/>
      <c r="R11" s="345"/>
      <c r="S11" s="256"/>
      <c r="T11" s="344"/>
      <c r="U11" s="344"/>
      <c r="V11" s="344"/>
      <c r="W11" s="344"/>
      <c r="X11" s="344"/>
      <c r="Y11" s="360"/>
    </row>
    <row r="12" spans="1:25" s="239" customFormat="1" ht="13.8">
      <c r="A12" s="279" t="s">
        <v>168</v>
      </c>
      <c r="B12" s="285" t="s">
        <v>1283</v>
      </c>
      <c r="C12" s="286">
        <f t="shared" si="2"/>
        <v>4868.5</v>
      </c>
      <c r="D12" s="287"/>
      <c r="E12" s="287"/>
      <c r="F12" s="282">
        <f t="shared" si="0"/>
        <v>4868.5</v>
      </c>
      <c r="G12" s="288">
        <f t="shared" si="3"/>
        <v>19474</v>
      </c>
      <c r="H12" s="289" t="s">
        <v>1279</v>
      </c>
      <c r="I12" s="326">
        <v>0.25</v>
      </c>
      <c r="J12" s="327"/>
      <c r="K12" s="328"/>
      <c r="L12" s="329">
        <v>7.5757042717885196E-3</v>
      </c>
      <c r="M12" s="308">
        <f t="shared" ca="1" si="1"/>
        <v>1.05864027733469E-2</v>
      </c>
      <c r="N12" s="325"/>
      <c r="O12" s="325"/>
      <c r="P12" s="325"/>
      <c r="Q12" s="309"/>
      <c r="R12" s="345"/>
      <c r="S12" s="256"/>
      <c r="T12" s="344"/>
      <c r="U12" s="344"/>
      <c r="V12" s="344"/>
      <c r="W12" s="344"/>
      <c r="X12" s="344"/>
      <c r="Y12" s="360"/>
    </row>
    <row r="13" spans="1:25" s="239" customFormat="1" ht="13.8">
      <c r="A13" s="284" t="s">
        <v>170</v>
      </c>
      <c r="B13" s="285" t="s">
        <v>1284</v>
      </c>
      <c r="C13" s="286">
        <f t="shared" si="2"/>
        <v>2921.1</v>
      </c>
      <c r="D13" s="287"/>
      <c r="E13" s="287"/>
      <c r="F13" s="282">
        <f t="shared" si="0"/>
        <v>2921.1</v>
      </c>
      <c r="G13" s="288">
        <f t="shared" si="3"/>
        <v>19474</v>
      </c>
      <c r="H13" s="289" t="s">
        <v>1279</v>
      </c>
      <c r="I13" s="326">
        <v>0.15</v>
      </c>
      <c r="J13" s="327"/>
      <c r="K13" s="328"/>
      <c r="L13" s="329">
        <v>4.5454225630731102E-3</v>
      </c>
      <c r="M13" s="308">
        <f t="shared" ca="1" si="1"/>
        <v>6.3518416640081397E-3</v>
      </c>
      <c r="N13" s="325"/>
      <c r="O13" s="325"/>
      <c r="P13" s="325"/>
      <c r="Q13" s="309"/>
      <c r="R13" s="345"/>
      <c r="S13" s="256"/>
      <c r="T13" s="344"/>
      <c r="U13" s="344"/>
      <c r="V13" s="344"/>
      <c r="W13" s="344"/>
      <c r="X13" s="344"/>
      <c r="Y13" s="360"/>
    </row>
    <row r="14" spans="1:25" s="239" customFormat="1" ht="13.8">
      <c r="A14" s="284" t="s">
        <v>172</v>
      </c>
      <c r="B14" s="285" t="s">
        <v>1285</v>
      </c>
      <c r="C14" s="286">
        <f t="shared" si="2"/>
        <v>292.11</v>
      </c>
      <c r="D14" s="287"/>
      <c r="E14" s="287"/>
      <c r="F14" s="282">
        <f t="shared" si="0"/>
        <v>292.11</v>
      </c>
      <c r="G14" s="288">
        <f t="shared" si="3"/>
        <v>19474</v>
      </c>
      <c r="H14" s="289" t="s">
        <v>1279</v>
      </c>
      <c r="I14" s="326">
        <v>1.4999999999999999E-2</v>
      </c>
      <c r="J14" s="327"/>
      <c r="K14" s="328"/>
      <c r="L14" s="329">
        <v>4.5454225630731099E-4</v>
      </c>
      <c r="M14" s="308">
        <f t="shared" ca="1" si="1"/>
        <v>6.3518416640081404E-4</v>
      </c>
      <c r="N14" s="325"/>
      <c r="O14" s="325"/>
      <c r="P14" s="325"/>
      <c r="Q14" s="309"/>
      <c r="R14" s="345"/>
      <c r="S14" s="256"/>
      <c r="T14" s="344"/>
      <c r="U14" s="344"/>
      <c r="V14" s="344"/>
      <c r="W14" s="344"/>
      <c r="X14" s="344"/>
      <c r="Y14" s="360"/>
    </row>
    <row r="15" spans="1:25" s="239" customFormat="1" ht="13.8">
      <c r="A15" s="279" t="s">
        <v>174</v>
      </c>
      <c r="B15" s="285" t="s">
        <v>1286</v>
      </c>
      <c r="C15" s="286">
        <f t="shared" si="2"/>
        <v>778.96</v>
      </c>
      <c r="D15" s="287"/>
      <c r="E15" s="287"/>
      <c r="F15" s="282">
        <f t="shared" si="0"/>
        <v>778.96</v>
      </c>
      <c r="G15" s="288">
        <f t="shared" si="3"/>
        <v>19474</v>
      </c>
      <c r="H15" s="289" t="s">
        <v>1279</v>
      </c>
      <c r="I15" s="326">
        <v>0.04</v>
      </c>
      <c r="J15" s="327"/>
      <c r="K15" s="328"/>
      <c r="L15" s="329">
        <v>1.21211268348616E-3</v>
      </c>
      <c r="M15" s="308">
        <f t="shared" ca="1" si="1"/>
        <v>1.6938244437355E-3</v>
      </c>
      <c r="N15" s="325"/>
      <c r="O15" s="325"/>
      <c r="P15" s="325"/>
      <c r="Q15" s="309"/>
      <c r="R15" s="345"/>
      <c r="S15" s="256"/>
      <c r="T15" s="344"/>
      <c r="U15" s="344"/>
      <c r="V15" s="344"/>
      <c r="W15" s="344"/>
      <c r="X15" s="344"/>
      <c r="Y15" s="360"/>
    </row>
    <row r="16" spans="1:25" s="239" customFormat="1" ht="13.8">
      <c r="A16" s="284" t="s">
        <v>891</v>
      </c>
      <c r="B16" s="285" t="s">
        <v>1287</v>
      </c>
      <c r="C16" s="286">
        <f t="shared" si="2"/>
        <v>1363.18</v>
      </c>
      <c r="D16" s="287"/>
      <c r="E16" s="287"/>
      <c r="F16" s="282">
        <f t="shared" si="0"/>
        <v>1363.18</v>
      </c>
      <c r="G16" s="288">
        <f t="shared" si="3"/>
        <v>19474</v>
      </c>
      <c r="H16" s="289" t="s">
        <v>1279</v>
      </c>
      <c r="I16" s="326">
        <v>7.0000000000000007E-2</v>
      </c>
      <c r="J16" s="327"/>
      <c r="K16" s="328"/>
      <c r="L16" s="329">
        <v>1.81816902522925E-3</v>
      </c>
      <c r="M16" s="308">
        <f t="shared" ca="1" si="1"/>
        <v>2.9641927765371302E-3</v>
      </c>
      <c r="N16" s="325"/>
      <c r="O16" s="325"/>
      <c r="P16" s="325"/>
      <c r="Q16" s="309"/>
      <c r="R16" s="345"/>
      <c r="S16" s="256"/>
      <c r="T16" s="344"/>
      <c r="U16" s="344"/>
      <c r="V16" s="344"/>
      <c r="W16" s="344"/>
      <c r="X16" s="344"/>
      <c r="Y16" s="360"/>
    </row>
    <row r="17" spans="1:25" s="243" customFormat="1" ht="13.8">
      <c r="A17" s="290" t="s">
        <v>1288</v>
      </c>
      <c r="B17" s="291" t="s">
        <v>1289</v>
      </c>
      <c r="C17" s="292"/>
      <c r="D17" s="292">
        <f>G17*I17</f>
        <v>6371.8927999999996</v>
      </c>
      <c r="E17" s="292"/>
      <c r="F17" s="292">
        <f t="shared" si="0"/>
        <v>6371.8927999999996</v>
      </c>
      <c r="G17" s="288">
        <v>19474</v>
      </c>
      <c r="H17" s="289" t="s">
        <v>1279</v>
      </c>
      <c r="I17" s="326">
        <v>0.32719999999999999</v>
      </c>
      <c r="J17" s="302"/>
      <c r="K17" s="331"/>
      <c r="L17" s="332"/>
      <c r="M17" s="308">
        <f t="shared" ca="1" si="1"/>
        <v>1.38554839497564E-2</v>
      </c>
      <c r="N17" s="325"/>
      <c r="O17" s="325"/>
      <c r="P17" s="325"/>
      <c r="Q17" s="325"/>
      <c r="R17" s="345"/>
      <c r="S17" s="343"/>
      <c r="T17" s="341"/>
      <c r="U17" s="341"/>
      <c r="V17" s="341"/>
      <c r="W17" s="341"/>
      <c r="X17" s="341"/>
      <c r="Y17" s="364"/>
    </row>
    <row r="18" spans="1:25" s="239" customFormat="1" ht="13.8">
      <c r="A18" s="284" t="s">
        <v>893</v>
      </c>
      <c r="B18" s="285" t="s">
        <v>1290</v>
      </c>
      <c r="C18" s="286"/>
      <c r="D18" s="287">
        <f>G18*I18</f>
        <v>90</v>
      </c>
      <c r="E18" s="287"/>
      <c r="F18" s="282">
        <f t="shared" si="0"/>
        <v>90</v>
      </c>
      <c r="G18" s="288">
        <v>2</v>
      </c>
      <c r="H18" s="289" t="s">
        <v>1291</v>
      </c>
      <c r="I18" s="326">
        <v>45</v>
      </c>
      <c r="J18" s="327"/>
      <c r="K18" s="328"/>
      <c r="L18" s="329">
        <v>1.4004588363170699E-4</v>
      </c>
      <c r="M18" s="308">
        <f t="shared" ca="1" si="1"/>
        <v>1.9570221826049501E-4</v>
      </c>
      <c r="N18" s="325"/>
      <c r="O18" s="325"/>
      <c r="P18" s="325"/>
      <c r="Q18" s="309"/>
      <c r="R18" s="345"/>
      <c r="S18" s="256"/>
      <c r="T18" s="344"/>
      <c r="U18" s="344"/>
      <c r="V18" s="344"/>
      <c r="W18" s="344"/>
      <c r="X18" s="344"/>
      <c r="Y18" s="360"/>
    </row>
    <row r="19" spans="1:25" s="239" customFormat="1" ht="13.8">
      <c r="A19" s="279" t="s">
        <v>896</v>
      </c>
      <c r="B19" s="285" t="s">
        <v>1292</v>
      </c>
      <c r="C19" s="286">
        <f t="shared" si="2"/>
        <v>116.84400000000001</v>
      </c>
      <c r="D19" s="287"/>
      <c r="E19" s="287"/>
      <c r="F19" s="282">
        <f t="shared" si="0"/>
        <v>116.84400000000001</v>
      </c>
      <c r="G19" s="288">
        <f>G16</f>
        <v>19474</v>
      </c>
      <c r="H19" s="289" t="s">
        <v>1279</v>
      </c>
      <c r="I19" s="326">
        <v>6.0000000000000001E-3</v>
      </c>
      <c r="J19" s="327"/>
      <c r="K19" s="328"/>
      <c r="L19" s="329">
        <v>1.81816902522925E-4</v>
      </c>
      <c r="M19" s="308">
        <f t="shared" ca="1" si="1"/>
        <v>2.5407366656032598E-4</v>
      </c>
      <c r="N19" s="325"/>
      <c r="O19" s="325"/>
      <c r="P19" s="325"/>
      <c r="Q19" s="309"/>
      <c r="R19" s="345"/>
      <c r="S19" s="256"/>
      <c r="T19" s="344"/>
      <c r="U19" s="344"/>
      <c r="V19" s="344"/>
      <c r="W19" s="344"/>
      <c r="X19" s="344"/>
      <c r="Y19" s="360"/>
    </row>
    <row r="20" spans="1:25" s="239" customFormat="1" ht="13.8">
      <c r="A20" s="284" t="s">
        <v>898</v>
      </c>
      <c r="B20" s="285" t="s">
        <v>1293</v>
      </c>
      <c r="C20" s="286">
        <f t="shared" si="2"/>
        <v>38.948</v>
      </c>
      <c r="D20" s="287"/>
      <c r="E20" s="287"/>
      <c r="F20" s="282">
        <f t="shared" si="0"/>
        <v>38.948</v>
      </c>
      <c r="G20" s="288">
        <f>G19</f>
        <v>19474</v>
      </c>
      <c r="H20" s="289" t="s">
        <v>1279</v>
      </c>
      <c r="I20" s="326">
        <v>2E-3</v>
      </c>
      <c r="J20" s="327"/>
      <c r="K20" s="328"/>
      <c r="L20" s="329">
        <v>6.0605634174308201E-5</v>
      </c>
      <c r="M20" s="308">
        <f t="shared" ca="1" si="1"/>
        <v>8.4691222186775197E-5</v>
      </c>
      <c r="N20" s="325"/>
      <c r="O20" s="325"/>
      <c r="P20" s="325"/>
      <c r="Q20" s="309"/>
      <c r="R20" s="345"/>
      <c r="S20" s="256"/>
      <c r="T20" s="344"/>
      <c r="U20" s="344"/>
      <c r="V20" s="344"/>
      <c r="W20" s="344"/>
      <c r="X20" s="344"/>
      <c r="Y20" s="360"/>
    </row>
    <row r="21" spans="1:25" s="244" customFormat="1" ht="13.8">
      <c r="A21" s="273">
        <v>1.3</v>
      </c>
      <c r="B21" s="274" t="s">
        <v>1294</v>
      </c>
      <c r="C21" s="275">
        <f>SUM(C22:C33)</f>
        <v>11029.588000000002</v>
      </c>
      <c r="D21" s="275">
        <f>SUM(D22:D33)</f>
        <v>6461.8927999999996</v>
      </c>
      <c r="E21" s="275">
        <f>SUM(E22:E33)</f>
        <v>0</v>
      </c>
      <c r="F21" s="276">
        <f t="shared" si="0"/>
        <v>17491.480800000001</v>
      </c>
      <c r="G21" s="277">
        <v>19474</v>
      </c>
      <c r="H21" s="278" t="s">
        <v>1279</v>
      </c>
      <c r="I21" s="318">
        <f>F21/G21</f>
        <v>0.89819661086576985</v>
      </c>
      <c r="J21" s="333"/>
      <c r="K21" s="334"/>
      <c r="L21" s="335"/>
      <c r="M21" s="322">
        <f t="shared" ca="1" si="1"/>
        <v>2.4179200419364302E-2</v>
      </c>
      <c r="N21" s="323"/>
      <c r="O21" s="323"/>
      <c r="P21" s="323"/>
      <c r="Q21" s="352"/>
      <c r="R21" s="353"/>
      <c r="S21" s="356"/>
      <c r="T21" s="357"/>
      <c r="U21" s="357"/>
      <c r="V21" s="357"/>
      <c r="W21" s="357"/>
      <c r="X21" s="357"/>
      <c r="Y21" s="365"/>
    </row>
    <row r="22" spans="1:25" s="238" customFormat="1" ht="13.8">
      <c r="A22" s="279" t="s">
        <v>903</v>
      </c>
      <c r="B22" s="280" t="str">
        <f>B9</f>
        <v>场平</v>
      </c>
      <c r="C22" s="281">
        <f>G22*I22</f>
        <v>435.73199999999997</v>
      </c>
      <c r="D22" s="281"/>
      <c r="E22" s="281"/>
      <c r="F22" s="282">
        <f t="shared" si="0"/>
        <v>435.73199999999997</v>
      </c>
      <c r="G22" s="283">
        <v>21786.6</v>
      </c>
      <c r="H22" s="260" t="s">
        <v>1279</v>
      </c>
      <c r="I22" s="324">
        <f>I9</f>
        <v>0.02</v>
      </c>
      <c r="J22" s="331"/>
      <c r="K22" s="336"/>
      <c r="L22" s="332"/>
      <c r="M22" s="308">
        <f t="shared" ca="1" si="1"/>
        <v>9.4748576630091202E-4</v>
      </c>
      <c r="N22" s="325"/>
      <c r="O22" s="325"/>
      <c r="P22" s="325"/>
      <c r="Q22" s="309"/>
      <c r="R22" s="345"/>
      <c r="S22" s="343"/>
      <c r="T22" s="341"/>
      <c r="U22" s="341"/>
      <c r="V22" s="341"/>
      <c r="W22" s="341"/>
      <c r="X22" s="341"/>
      <c r="Y22" s="364"/>
    </row>
    <row r="23" spans="1:25" s="239" customFormat="1" ht="13.8">
      <c r="A23" s="284" t="s">
        <v>904</v>
      </c>
      <c r="B23" s="285" t="s">
        <v>1281</v>
      </c>
      <c r="C23" s="286">
        <f>G23*I23</f>
        <v>97.37</v>
      </c>
      <c r="D23" s="287"/>
      <c r="E23" s="287"/>
      <c r="F23" s="282">
        <f t="shared" si="0"/>
        <v>97.37</v>
      </c>
      <c r="G23" s="288">
        <f>G21</f>
        <v>19474</v>
      </c>
      <c r="H23" s="289" t="s">
        <v>1279</v>
      </c>
      <c r="I23" s="326">
        <v>5.0000000000000001E-3</v>
      </c>
      <c r="J23" s="327"/>
      <c r="K23" s="328"/>
      <c r="L23" s="329">
        <v>1.5151408543577E-4</v>
      </c>
      <c r="M23" s="308">
        <f t="shared" ca="1" si="1"/>
        <v>2.1172805546693801E-4</v>
      </c>
      <c r="N23" s="330"/>
      <c r="O23" s="325"/>
      <c r="P23" s="325"/>
      <c r="Q23" s="309"/>
      <c r="R23" s="345"/>
      <c r="S23" s="256"/>
      <c r="T23" s="344"/>
      <c r="U23" s="344"/>
      <c r="V23" s="344"/>
      <c r="W23" s="344"/>
      <c r="X23" s="344"/>
      <c r="Y23" s="360"/>
    </row>
    <row r="24" spans="1:25" s="239" customFormat="1" ht="13.8">
      <c r="A24" s="284" t="s">
        <v>905</v>
      </c>
      <c r="B24" s="285" t="s">
        <v>1282</v>
      </c>
      <c r="C24" s="286">
        <f t="shared" ref="C24:C29" si="4">G24*I24</f>
        <v>116.84400000000001</v>
      </c>
      <c r="D24" s="287"/>
      <c r="E24" s="287"/>
      <c r="F24" s="282">
        <f t="shared" si="0"/>
        <v>116.84400000000001</v>
      </c>
      <c r="G24" s="288">
        <f t="shared" ref="G24:G29" si="5">G23</f>
        <v>19474</v>
      </c>
      <c r="H24" s="289" t="s">
        <v>1279</v>
      </c>
      <c r="I24" s="326">
        <v>6.0000000000000001E-3</v>
      </c>
      <c r="J24" s="327"/>
      <c r="K24" s="328"/>
      <c r="L24" s="329">
        <v>1.81816902522925E-4</v>
      </c>
      <c r="M24" s="308">
        <f t="shared" ca="1" si="1"/>
        <v>2.5407366656032598E-4</v>
      </c>
      <c r="N24" s="325"/>
      <c r="O24" s="325"/>
      <c r="P24" s="325"/>
      <c r="Q24" s="309"/>
      <c r="R24" s="345"/>
      <c r="S24" s="256"/>
      <c r="T24" s="344"/>
      <c r="U24" s="344"/>
      <c r="V24" s="344"/>
      <c r="W24" s="344"/>
      <c r="X24" s="344"/>
      <c r="Y24" s="360"/>
    </row>
    <row r="25" spans="1:25" s="239" customFormat="1" ht="13.8">
      <c r="A25" s="284" t="s">
        <v>906</v>
      </c>
      <c r="B25" s="285" t="s">
        <v>1283</v>
      </c>
      <c r="C25" s="286">
        <f t="shared" si="4"/>
        <v>4868.5</v>
      </c>
      <c r="D25" s="287"/>
      <c r="E25" s="287"/>
      <c r="F25" s="282">
        <f t="shared" si="0"/>
        <v>4868.5</v>
      </c>
      <c r="G25" s="288">
        <f t="shared" si="5"/>
        <v>19474</v>
      </c>
      <c r="H25" s="289" t="s">
        <v>1279</v>
      </c>
      <c r="I25" s="326">
        <v>0.25</v>
      </c>
      <c r="J25" s="327"/>
      <c r="K25" s="328"/>
      <c r="L25" s="329">
        <v>7.5757042717885196E-3</v>
      </c>
      <c r="M25" s="308">
        <f t="shared" ca="1" si="1"/>
        <v>1.05864027733469E-2</v>
      </c>
      <c r="N25" s="325"/>
      <c r="O25" s="325"/>
      <c r="P25" s="325"/>
      <c r="Q25" s="309"/>
      <c r="R25" s="345"/>
      <c r="S25" s="256"/>
      <c r="T25" s="344"/>
      <c r="U25" s="344"/>
      <c r="V25" s="344"/>
      <c r="W25" s="344"/>
      <c r="X25" s="344"/>
      <c r="Y25" s="360"/>
    </row>
    <row r="26" spans="1:25" s="239" customFormat="1" ht="13.8">
      <c r="A26" s="284" t="s">
        <v>907</v>
      </c>
      <c r="B26" s="285" t="s">
        <v>1284</v>
      </c>
      <c r="C26" s="286">
        <f t="shared" si="4"/>
        <v>2921.1</v>
      </c>
      <c r="D26" s="287"/>
      <c r="E26" s="287"/>
      <c r="F26" s="282">
        <f t="shared" si="0"/>
        <v>2921.1</v>
      </c>
      <c r="G26" s="288">
        <f t="shared" si="5"/>
        <v>19474</v>
      </c>
      <c r="H26" s="289" t="s">
        <v>1279</v>
      </c>
      <c r="I26" s="326">
        <v>0.15</v>
      </c>
      <c r="J26" s="327"/>
      <c r="K26" s="328"/>
      <c r="L26" s="329">
        <v>4.5454225630731102E-3</v>
      </c>
      <c r="M26" s="308">
        <f t="shared" ca="1" si="1"/>
        <v>6.3518416640081397E-3</v>
      </c>
      <c r="N26" s="325"/>
      <c r="O26" s="325"/>
      <c r="P26" s="325"/>
      <c r="Q26" s="309"/>
      <c r="R26" s="345"/>
      <c r="S26" s="256"/>
      <c r="T26" s="344"/>
      <c r="U26" s="344"/>
      <c r="V26" s="344"/>
      <c r="W26" s="344"/>
      <c r="X26" s="344"/>
      <c r="Y26" s="360"/>
    </row>
    <row r="27" spans="1:25" s="239" customFormat="1" ht="13.8">
      <c r="A27" s="284" t="s">
        <v>908</v>
      </c>
      <c r="B27" s="285" t="s">
        <v>1285</v>
      </c>
      <c r="C27" s="286">
        <f t="shared" si="4"/>
        <v>292.11</v>
      </c>
      <c r="D27" s="287"/>
      <c r="E27" s="287"/>
      <c r="F27" s="282">
        <f t="shared" si="0"/>
        <v>292.11</v>
      </c>
      <c r="G27" s="288">
        <f t="shared" si="5"/>
        <v>19474</v>
      </c>
      <c r="H27" s="289" t="s">
        <v>1279</v>
      </c>
      <c r="I27" s="326">
        <v>1.4999999999999999E-2</v>
      </c>
      <c r="J27" s="327"/>
      <c r="K27" s="328"/>
      <c r="L27" s="329">
        <v>4.5454225630731099E-4</v>
      </c>
      <c r="M27" s="308">
        <f t="shared" ca="1" si="1"/>
        <v>6.3518416640081404E-4</v>
      </c>
      <c r="N27" s="325"/>
      <c r="O27" s="325"/>
      <c r="P27" s="325"/>
      <c r="Q27" s="309"/>
      <c r="R27" s="345"/>
      <c r="S27" s="256"/>
      <c r="T27" s="344"/>
      <c r="U27" s="344"/>
      <c r="V27" s="344"/>
      <c r="W27" s="344"/>
      <c r="X27" s="344"/>
      <c r="Y27" s="360"/>
    </row>
    <row r="28" spans="1:25" s="239" customFormat="1" ht="13.8">
      <c r="A28" s="284" t="s">
        <v>909</v>
      </c>
      <c r="B28" s="285" t="s">
        <v>1286</v>
      </c>
      <c r="C28" s="286">
        <f t="shared" si="4"/>
        <v>778.96</v>
      </c>
      <c r="D28" s="287"/>
      <c r="E28" s="287"/>
      <c r="F28" s="282">
        <f t="shared" si="0"/>
        <v>778.96</v>
      </c>
      <c r="G28" s="288">
        <f t="shared" si="5"/>
        <v>19474</v>
      </c>
      <c r="H28" s="289" t="s">
        <v>1279</v>
      </c>
      <c r="I28" s="326">
        <v>0.04</v>
      </c>
      <c r="J28" s="327"/>
      <c r="K28" s="328"/>
      <c r="L28" s="329">
        <v>1.21211268348616E-3</v>
      </c>
      <c r="M28" s="308">
        <f t="shared" ca="1" si="1"/>
        <v>1.6938244437355E-3</v>
      </c>
      <c r="N28" s="325"/>
      <c r="O28" s="325"/>
      <c r="P28" s="325"/>
      <c r="Q28" s="309"/>
      <c r="R28" s="345"/>
      <c r="S28" s="256"/>
      <c r="T28" s="344"/>
      <c r="U28" s="344"/>
      <c r="V28" s="344"/>
      <c r="W28" s="344"/>
      <c r="X28" s="344"/>
      <c r="Y28" s="360"/>
    </row>
    <row r="29" spans="1:25" s="239" customFormat="1" ht="13.8">
      <c r="A29" s="284" t="s">
        <v>910</v>
      </c>
      <c r="B29" s="285" t="s">
        <v>1287</v>
      </c>
      <c r="C29" s="286">
        <f t="shared" si="4"/>
        <v>1363.18</v>
      </c>
      <c r="D29" s="287"/>
      <c r="E29" s="287"/>
      <c r="F29" s="282">
        <f t="shared" si="0"/>
        <v>1363.18</v>
      </c>
      <c r="G29" s="288">
        <f t="shared" si="5"/>
        <v>19474</v>
      </c>
      <c r="H29" s="289" t="s">
        <v>1279</v>
      </c>
      <c r="I29" s="326">
        <v>7.0000000000000007E-2</v>
      </c>
      <c r="J29" s="327"/>
      <c r="K29" s="328"/>
      <c r="L29" s="329">
        <v>1.81816902522925E-3</v>
      </c>
      <c r="M29" s="308">
        <f t="shared" ca="1" si="1"/>
        <v>2.9641927765371302E-3</v>
      </c>
      <c r="N29" s="325"/>
      <c r="O29" s="325"/>
      <c r="P29" s="325"/>
      <c r="Q29" s="309"/>
      <c r="R29" s="345"/>
      <c r="S29" s="256"/>
      <c r="T29" s="344"/>
      <c r="U29" s="344"/>
      <c r="V29" s="344"/>
      <c r="W29" s="344"/>
      <c r="X29" s="344"/>
      <c r="Y29" s="360"/>
    </row>
    <row r="30" spans="1:25" s="243" customFormat="1" ht="13.8">
      <c r="A30" s="290" t="s">
        <v>1295</v>
      </c>
      <c r="B30" s="291" t="s">
        <v>1289</v>
      </c>
      <c r="C30" s="293"/>
      <c r="D30" s="292">
        <f>G30*I30</f>
        <v>6371.8927999999996</v>
      </c>
      <c r="E30" s="293"/>
      <c r="F30" s="292">
        <f t="shared" si="0"/>
        <v>6371.8927999999996</v>
      </c>
      <c r="G30" s="294">
        <v>19474</v>
      </c>
      <c r="H30" s="289" t="s">
        <v>1279</v>
      </c>
      <c r="I30" s="326">
        <v>0.32719999999999999</v>
      </c>
      <c r="J30" s="302"/>
      <c r="K30" s="331"/>
      <c r="L30" s="332"/>
      <c r="M30" s="308">
        <f t="shared" ca="1" si="1"/>
        <v>1.38554839497564E-2</v>
      </c>
      <c r="N30" s="325"/>
      <c r="O30" s="325"/>
      <c r="P30" s="325"/>
      <c r="Q30" s="325"/>
      <c r="R30" s="345"/>
      <c r="S30" s="343"/>
      <c r="T30" s="341"/>
      <c r="U30" s="341"/>
      <c r="V30" s="341"/>
      <c r="W30" s="341"/>
      <c r="X30" s="341"/>
      <c r="Y30" s="364"/>
    </row>
    <row r="31" spans="1:25" s="239" customFormat="1" ht="13.8">
      <c r="A31" s="284" t="s">
        <v>911</v>
      </c>
      <c r="B31" s="285" t="s">
        <v>1290</v>
      </c>
      <c r="C31" s="286"/>
      <c r="D31" s="287">
        <f>G31*I31</f>
        <v>90</v>
      </c>
      <c r="E31" s="287"/>
      <c r="F31" s="282">
        <f t="shared" si="0"/>
        <v>90</v>
      </c>
      <c r="G31" s="288">
        <v>2</v>
      </c>
      <c r="H31" s="289" t="s">
        <v>1291</v>
      </c>
      <c r="I31" s="326">
        <v>45</v>
      </c>
      <c r="J31" s="327"/>
      <c r="K31" s="328"/>
      <c r="L31" s="329">
        <v>1.4004588363170699E-4</v>
      </c>
      <c r="M31" s="308">
        <f t="shared" ca="1" si="1"/>
        <v>1.9570221826049501E-4</v>
      </c>
      <c r="N31" s="325"/>
      <c r="O31" s="325"/>
      <c r="P31" s="325"/>
      <c r="Q31" s="309"/>
      <c r="R31" s="345"/>
      <c r="S31" s="256"/>
      <c r="T31" s="344"/>
      <c r="U31" s="344"/>
      <c r="V31" s="344"/>
      <c r="W31" s="344"/>
      <c r="X31" s="344"/>
      <c r="Y31" s="360"/>
    </row>
    <row r="32" spans="1:25" s="239" customFormat="1" ht="13.8">
      <c r="A32" s="284" t="s">
        <v>912</v>
      </c>
      <c r="B32" s="285" t="s">
        <v>1292</v>
      </c>
      <c r="C32" s="286">
        <f>G32*I32</f>
        <v>116.84400000000001</v>
      </c>
      <c r="D32" s="287"/>
      <c r="E32" s="287"/>
      <c r="F32" s="282">
        <f t="shared" si="0"/>
        <v>116.84400000000001</v>
      </c>
      <c r="G32" s="288">
        <f>G29</f>
        <v>19474</v>
      </c>
      <c r="H32" s="289" t="s">
        <v>1279</v>
      </c>
      <c r="I32" s="326">
        <v>6.0000000000000001E-3</v>
      </c>
      <c r="J32" s="327"/>
      <c r="K32" s="328"/>
      <c r="L32" s="329">
        <v>1.81816902522925E-4</v>
      </c>
      <c r="M32" s="308">
        <f t="shared" ca="1" si="1"/>
        <v>2.5407366656032598E-4</v>
      </c>
      <c r="N32" s="325"/>
      <c r="O32" s="325"/>
      <c r="P32" s="325"/>
      <c r="Q32" s="309"/>
      <c r="R32" s="345"/>
      <c r="S32" s="256"/>
      <c r="T32" s="344"/>
      <c r="U32" s="344"/>
      <c r="V32" s="344"/>
      <c r="W32" s="344"/>
      <c r="X32" s="344"/>
      <c r="Y32" s="360"/>
    </row>
    <row r="33" spans="1:25" s="239" customFormat="1" ht="13.8">
      <c r="A33" s="284" t="s">
        <v>913</v>
      </c>
      <c r="B33" s="285" t="s">
        <v>1293</v>
      </c>
      <c r="C33" s="286">
        <f>G33*I33</f>
        <v>38.948</v>
      </c>
      <c r="D33" s="287"/>
      <c r="E33" s="287"/>
      <c r="F33" s="282">
        <f t="shared" si="0"/>
        <v>38.948</v>
      </c>
      <c r="G33" s="288">
        <f>G29</f>
        <v>19474</v>
      </c>
      <c r="H33" s="289" t="s">
        <v>1279</v>
      </c>
      <c r="I33" s="326">
        <v>2E-3</v>
      </c>
      <c r="J33" s="327"/>
      <c r="K33" s="328"/>
      <c r="L33" s="329">
        <v>6.0605634174308201E-5</v>
      </c>
      <c r="M33" s="308">
        <f t="shared" ca="1" si="1"/>
        <v>8.4691222186775197E-5</v>
      </c>
      <c r="N33" s="325"/>
      <c r="O33" s="325"/>
      <c r="P33" s="325"/>
      <c r="Q33" s="309"/>
      <c r="R33" s="345"/>
      <c r="S33" s="256"/>
      <c r="T33" s="344"/>
      <c r="U33" s="344"/>
      <c r="V33" s="344"/>
      <c r="W33" s="344"/>
      <c r="X33" s="344"/>
      <c r="Y33" s="360"/>
    </row>
    <row r="34" spans="1:25" s="244" customFormat="1" ht="13.8">
      <c r="A34" s="295">
        <v>1.4</v>
      </c>
      <c r="B34" s="274" t="s">
        <v>1296</v>
      </c>
      <c r="C34" s="275">
        <f>SUM(C35:C46)</f>
        <v>23386.899999999998</v>
      </c>
      <c r="D34" s="275">
        <f>SUM(D35:D46)</f>
        <v>1814.328</v>
      </c>
      <c r="E34" s="275">
        <f>SUM(E35:E46)</f>
        <v>0</v>
      </c>
      <c r="F34" s="276">
        <f t="shared" si="0"/>
        <v>25201.227999999999</v>
      </c>
      <c r="G34" s="277">
        <v>45398</v>
      </c>
      <c r="H34" s="278" t="s">
        <v>1279</v>
      </c>
      <c r="I34" s="318">
        <f>F34/G34</f>
        <v>0.55511758227234675</v>
      </c>
      <c r="J34" s="333"/>
      <c r="K34" s="334"/>
      <c r="L34" s="335"/>
      <c r="M34" s="322">
        <f t="shared" ca="1" si="1"/>
        <v>5.1245495639147397E-2</v>
      </c>
      <c r="N34" s="323"/>
      <c r="O34" s="323"/>
      <c r="P34" s="323"/>
      <c r="Q34" s="352"/>
      <c r="R34" s="353"/>
      <c r="S34" s="356"/>
      <c r="T34" s="357"/>
      <c r="U34" s="357"/>
      <c r="V34" s="357"/>
      <c r="W34" s="357"/>
      <c r="X34" s="357"/>
      <c r="Y34" s="365"/>
    </row>
    <row r="35" spans="1:25" s="238" customFormat="1" ht="13.8">
      <c r="A35" s="279" t="s">
        <v>916</v>
      </c>
      <c r="B35" s="280" t="str">
        <f>B22</f>
        <v>场平</v>
      </c>
      <c r="C35" s="281">
        <f>G35*I35</f>
        <v>506.30800000000005</v>
      </c>
      <c r="D35" s="281"/>
      <c r="E35" s="281"/>
      <c r="F35" s="282">
        <f t="shared" si="0"/>
        <v>506.30800000000005</v>
      </c>
      <c r="G35" s="283">
        <v>25315.4</v>
      </c>
      <c r="H35" s="260" t="s">
        <v>1279</v>
      </c>
      <c r="I35" s="324">
        <f>I22</f>
        <v>0.02</v>
      </c>
      <c r="J35" s="331"/>
      <c r="K35" s="336"/>
      <c r="L35" s="332"/>
      <c r="M35" s="308">
        <f t="shared" ca="1" si="1"/>
        <v>1.1009510969226101E-3</v>
      </c>
      <c r="N35" s="325"/>
      <c r="O35" s="325"/>
      <c r="P35" s="325"/>
      <c r="Q35" s="309"/>
      <c r="R35" s="345"/>
      <c r="S35" s="343"/>
      <c r="T35" s="341"/>
      <c r="U35" s="341"/>
      <c r="V35" s="341"/>
      <c r="W35" s="341"/>
      <c r="X35" s="341"/>
      <c r="Y35" s="364"/>
    </row>
    <row r="36" spans="1:25" s="239" customFormat="1" ht="13.8">
      <c r="A36" s="284" t="s">
        <v>917</v>
      </c>
      <c r="B36" s="285" t="s">
        <v>1281</v>
      </c>
      <c r="C36" s="286">
        <f>G36*I36</f>
        <v>226.99</v>
      </c>
      <c r="D36" s="287"/>
      <c r="E36" s="287"/>
      <c r="F36" s="282">
        <f t="shared" si="0"/>
        <v>226.99</v>
      </c>
      <c r="G36" s="288">
        <f>G34</f>
        <v>45398</v>
      </c>
      <c r="H36" s="289" t="s">
        <v>1279</v>
      </c>
      <c r="I36" s="326">
        <v>5.0000000000000001E-3</v>
      </c>
      <c r="J36" s="327"/>
      <c r="K36" s="328"/>
      <c r="L36" s="329">
        <v>1.5151408543577E-4</v>
      </c>
      <c r="M36" s="308">
        <f t="shared" ca="1" si="1"/>
        <v>4.9358273914388705E-4</v>
      </c>
      <c r="N36" s="330"/>
      <c r="O36" s="325"/>
      <c r="P36" s="325"/>
      <c r="Q36" s="309"/>
      <c r="R36" s="345"/>
      <c r="S36" s="256"/>
      <c r="T36" s="344"/>
      <c r="U36" s="344"/>
      <c r="V36" s="344"/>
      <c r="W36" s="344"/>
      <c r="X36" s="344"/>
      <c r="Y36" s="360"/>
    </row>
    <row r="37" spans="1:25" s="239" customFormat="1" ht="13.8">
      <c r="A37" s="284" t="s">
        <v>918</v>
      </c>
      <c r="B37" s="285" t="s">
        <v>1282</v>
      </c>
      <c r="C37" s="286">
        <f t="shared" ref="C37:C42" si="6">G37*I37</f>
        <v>272.38800000000003</v>
      </c>
      <c r="D37" s="287"/>
      <c r="E37" s="287"/>
      <c r="F37" s="282">
        <f t="shared" si="0"/>
        <v>272.38800000000003</v>
      </c>
      <c r="G37" s="288">
        <f t="shared" ref="G37:G42" si="7">G36</f>
        <v>45398</v>
      </c>
      <c r="H37" s="289" t="s">
        <v>1279</v>
      </c>
      <c r="I37" s="326">
        <v>6.0000000000000001E-3</v>
      </c>
      <c r="J37" s="327"/>
      <c r="K37" s="328"/>
      <c r="L37" s="329">
        <v>1.81816902522925E-4</v>
      </c>
      <c r="M37" s="308">
        <f t="shared" ca="1" si="1"/>
        <v>5.9229928697266396E-4</v>
      </c>
      <c r="N37" s="325"/>
      <c r="O37" s="325"/>
      <c r="P37" s="325"/>
      <c r="Q37" s="309"/>
      <c r="R37" s="345"/>
      <c r="S37" s="256"/>
      <c r="T37" s="344"/>
      <c r="U37" s="344"/>
      <c r="V37" s="344"/>
      <c r="W37" s="344"/>
      <c r="X37" s="344"/>
      <c r="Y37" s="360"/>
    </row>
    <row r="38" spans="1:25" s="239" customFormat="1" ht="13.8">
      <c r="A38" s="284" t="s">
        <v>919</v>
      </c>
      <c r="B38" s="285" t="s">
        <v>1283</v>
      </c>
      <c r="C38" s="286">
        <f t="shared" si="6"/>
        <v>10441.540000000001</v>
      </c>
      <c r="D38" s="287"/>
      <c r="E38" s="287"/>
      <c r="F38" s="282">
        <f t="shared" si="0"/>
        <v>10441.540000000001</v>
      </c>
      <c r="G38" s="288">
        <f t="shared" si="7"/>
        <v>45398</v>
      </c>
      <c r="H38" s="289" t="s">
        <v>1279</v>
      </c>
      <c r="I38" s="326">
        <v>0.23</v>
      </c>
      <c r="J38" s="327"/>
      <c r="K38" s="328"/>
      <c r="L38" s="329">
        <v>7.5757042717885196E-3</v>
      </c>
      <c r="M38" s="308">
        <f t="shared" ca="1" si="1"/>
        <v>2.2704806000618801E-2</v>
      </c>
      <c r="N38" s="325"/>
      <c r="O38" s="325"/>
      <c r="P38" s="325"/>
      <c r="Q38" s="309"/>
      <c r="R38" s="345"/>
      <c r="S38" s="256"/>
      <c r="T38" s="344"/>
      <c r="U38" s="344"/>
      <c r="V38" s="344"/>
      <c r="W38" s="344"/>
      <c r="X38" s="344"/>
      <c r="Y38" s="360"/>
    </row>
    <row r="39" spans="1:25" s="239" customFormat="1" ht="13.8">
      <c r="A39" s="284" t="s">
        <v>920</v>
      </c>
      <c r="B39" s="285" t="s">
        <v>1284</v>
      </c>
      <c r="C39" s="286">
        <f t="shared" si="6"/>
        <v>5901.74</v>
      </c>
      <c r="D39" s="287"/>
      <c r="E39" s="287"/>
      <c r="F39" s="282">
        <f t="shared" si="0"/>
        <v>5901.74</v>
      </c>
      <c r="G39" s="288">
        <f t="shared" si="7"/>
        <v>45398</v>
      </c>
      <c r="H39" s="289" t="s">
        <v>1279</v>
      </c>
      <c r="I39" s="326">
        <v>0.13</v>
      </c>
      <c r="J39" s="327"/>
      <c r="K39" s="328"/>
      <c r="L39" s="329">
        <v>4.5454225630731102E-3</v>
      </c>
      <c r="M39" s="308">
        <f t="shared" ca="1" si="1"/>
        <v>1.28331512177411E-2</v>
      </c>
      <c r="N39" s="325"/>
      <c r="O39" s="325"/>
      <c r="P39" s="325"/>
      <c r="Q39" s="309"/>
      <c r="R39" s="345"/>
      <c r="S39" s="256"/>
      <c r="T39" s="344"/>
      <c r="U39" s="344"/>
      <c r="V39" s="344"/>
      <c r="W39" s="344"/>
      <c r="X39" s="344"/>
      <c r="Y39" s="360"/>
    </row>
    <row r="40" spans="1:25" s="239" customFormat="1" ht="13.8">
      <c r="A40" s="284" t="s">
        <v>921</v>
      </c>
      <c r="B40" s="285" t="s">
        <v>1285</v>
      </c>
      <c r="C40" s="286">
        <f t="shared" si="6"/>
        <v>680.97</v>
      </c>
      <c r="D40" s="287"/>
      <c r="E40" s="287"/>
      <c r="F40" s="282">
        <f t="shared" si="0"/>
        <v>680.97</v>
      </c>
      <c r="G40" s="288">
        <f t="shared" si="7"/>
        <v>45398</v>
      </c>
      <c r="H40" s="289" t="s">
        <v>1279</v>
      </c>
      <c r="I40" s="326">
        <v>1.4999999999999999E-2</v>
      </c>
      <c r="J40" s="327"/>
      <c r="K40" s="328"/>
      <c r="L40" s="329">
        <v>4.5454225630731099E-4</v>
      </c>
      <c r="M40" s="308">
        <f t="shared" ca="1" si="1"/>
        <v>1.48074821743166E-3</v>
      </c>
      <c r="N40" s="325"/>
      <c r="O40" s="325"/>
      <c r="P40" s="325"/>
      <c r="Q40" s="309"/>
      <c r="R40" s="345"/>
      <c r="S40" s="256"/>
      <c r="T40" s="344"/>
      <c r="U40" s="344"/>
      <c r="V40" s="344"/>
      <c r="W40" s="344"/>
      <c r="X40" s="344"/>
      <c r="Y40" s="360"/>
    </row>
    <row r="41" spans="1:25" s="239" customFormat="1" ht="13.8">
      <c r="A41" s="284" t="s">
        <v>922</v>
      </c>
      <c r="B41" s="285" t="s">
        <v>1286</v>
      </c>
      <c r="C41" s="286">
        <f t="shared" si="6"/>
        <v>1815.92</v>
      </c>
      <c r="D41" s="287"/>
      <c r="E41" s="287"/>
      <c r="F41" s="282">
        <f t="shared" si="0"/>
        <v>1815.92</v>
      </c>
      <c r="G41" s="288">
        <f t="shared" si="7"/>
        <v>45398</v>
      </c>
      <c r="H41" s="289" t="s">
        <v>1279</v>
      </c>
      <c r="I41" s="326">
        <v>0.04</v>
      </c>
      <c r="J41" s="327"/>
      <c r="K41" s="328"/>
      <c r="L41" s="329">
        <v>1.21211268348616E-3</v>
      </c>
      <c r="M41" s="308">
        <f t="shared" ca="1" si="1"/>
        <v>3.9486619131510903E-3</v>
      </c>
      <c r="N41" s="325"/>
      <c r="O41" s="325"/>
      <c r="P41" s="325"/>
      <c r="Q41" s="309"/>
      <c r="R41" s="345"/>
      <c r="S41" s="256"/>
      <c r="T41" s="344"/>
      <c r="U41" s="344"/>
      <c r="V41" s="344"/>
      <c r="W41" s="344"/>
      <c r="X41" s="344"/>
      <c r="Y41" s="360"/>
    </row>
    <row r="42" spans="1:25" s="239" customFormat="1" ht="13.8">
      <c r="A42" s="284" t="s">
        <v>923</v>
      </c>
      <c r="B42" s="285" t="s">
        <v>1287</v>
      </c>
      <c r="C42" s="286">
        <f t="shared" si="6"/>
        <v>3177.86</v>
      </c>
      <c r="D42" s="287"/>
      <c r="E42" s="287"/>
      <c r="F42" s="282">
        <f t="shared" si="0"/>
        <v>3177.86</v>
      </c>
      <c r="G42" s="288">
        <f t="shared" si="7"/>
        <v>45398</v>
      </c>
      <c r="H42" s="289" t="s">
        <v>1279</v>
      </c>
      <c r="I42" s="326">
        <v>7.0000000000000007E-2</v>
      </c>
      <c r="J42" s="327"/>
      <c r="K42" s="328"/>
      <c r="L42" s="329">
        <v>1.81816902522925E-3</v>
      </c>
      <c r="M42" s="308">
        <f t="shared" ca="1" si="1"/>
        <v>6.9101583480144103E-3</v>
      </c>
      <c r="N42" s="325"/>
      <c r="O42" s="325"/>
      <c r="P42" s="325"/>
      <c r="Q42" s="309"/>
      <c r="R42" s="345"/>
      <c r="S42" s="256"/>
      <c r="T42" s="344"/>
      <c r="U42" s="344"/>
      <c r="V42" s="344"/>
      <c r="W42" s="344"/>
      <c r="X42" s="344"/>
      <c r="Y42" s="360"/>
    </row>
    <row r="43" spans="1:25" s="243" customFormat="1" ht="13.8">
      <c r="A43" s="290" t="s">
        <v>1297</v>
      </c>
      <c r="B43" s="291" t="s">
        <v>1289</v>
      </c>
      <c r="C43" s="293"/>
      <c r="D43" s="292">
        <f>G43*I43</f>
        <v>1634.328</v>
      </c>
      <c r="E43" s="293"/>
      <c r="F43" s="292">
        <f t="shared" si="0"/>
        <v>1634.328</v>
      </c>
      <c r="G43" s="294">
        <v>45398</v>
      </c>
      <c r="H43" s="289" t="s">
        <v>1279</v>
      </c>
      <c r="I43" s="326">
        <v>3.5999999999999997E-2</v>
      </c>
      <c r="J43" s="302"/>
      <c r="K43" s="331"/>
      <c r="L43" s="332"/>
      <c r="M43" s="308">
        <f t="shared" ca="1" si="1"/>
        <v>3.5537957218359801E-3</v>
      </c>
      <c r="N43" s="325"/>
      <c r="O43" s="325"/>
      <c r="P43" s="325"/>
      <c r="Q43" s="325"/>
      <c r="R43" s="345"/>
      <c r="S43" s="343"/>
      <c r="T43" s="341"/>
      <c r="U43" s="341"/>
      <c r="V43" s="341"/>
      <c r="W43" s="341"/>
      <c r="X43" s="341"/>
      <c r="Y43" s="364"/>
    </row>
    <row r="44" spans="1:25" s="239" customFormat="1" ht="13.8">
      <c r="A44" s="284" t="s">
        <v>924</v>
      </c>
      <c r="B44" s="285" t="s">
        <v>1290</v>
      </c>
      <c r="C44" s="286"/>
      <c r="D44" s="287">
        <f>G44*I44</f>
        <v>180</v>
      </c>
      <c r="E44" s="287"/>
      <c r="F44" s="282">
        <f t="shared" si="0"/>
        <v>180</v>
      </c>
      <c r="G44" s="288">
        <v>4</v>
      </c>
      <c r="H44" s="289" t="s">
        <v>1291</v>
      </c>
      <c r="I44" s="326">
        <v>45</v>
      </c>
      <c r="J44" s="327"/>
      <c r="K44" s="328"/>
      <c r="L44" s="329">
        <v>1.4004588363170699E-4</v>
      </c>
      <c r="M44" s="308">
        <f t="shared" ca="1" si="1"/>
        <v>3.9140443652099002E-4</v>
      </c>
      <c r="N44" s="325"/>
      <c r="O44" s="325"/>
      <c r="P44" s="325"/>
      <c r="Q44" s="309"/>
      <c r="R44" s="345"/>
      <c r="S44" s="256"/>
      <c r="T44" s="344"/>
      <c r="U44" s="344"/>
      <c r="V44" s="344"/>
      <c r="W44" s="344"/>
      <c r="X44" s="344"/>
      <c r="Y44" s="360"/>
    </row>
    <row r="45" spans="1:25" s="239" customFormat="1" ht="13.8">
      <c r="A45" s="284" t="s">
        <v>925</v>
      </c>
      <c r="B45" s="285" t="s">
        <v>1292</v>
      </c>
      <c r="C45" s="286">
        <f>G45*I45</f>
        <v>272.38800000000003</v>
      </c>
      <c r="D45" s="287"/>
      <c r="E45" s="287"/>
      <c r="F45" s="282">
        <f t="shared" si="0"/>
        <v>272.38800000000003</v>
      </c>
      <c r="G45" s="288">
        <f>G42</f>
        <v>45398</v>
      </c>
      <c r="H45" s="289" t="s">
        <v>1279</v>
      </c>
      <c r="I45" s="326">
        <v>6.0000000000000001E-3</v>
      </c>
      <c r="J45" s="327"/>
      <c r="K45" s="328"/>
      <c r="L45" s="329">
        <v>1.81816902522925E-4</v>
      </c>
      <c r="M45" s="308">
        <f t="shared" ca="1" si="1"/>
        <v>5.9229928697266396E-4</v>
      </c>
      <c r="N45" s="325"/>
      <c r="O45" s="325"/>
      <c r="P45" s="325"/>
      <c r="Q45" s="309"/>
      <c r="R45" s="345"/>
      <c r="S45" s="256"/>
      <c r="T45" s="344"/>
      <c r="U45" s="344"/>
      <c r="V45" s="344"/>
      <c r="W45" s="344"/>
      <c r="X45" s="344"/>
      <c r="Y45" s="360"/>
    </row>
    <row r="46" spans="1:25" s="239" customFormat="1" ht="13.8">
      <c r="A46" s="284" t="s">
        <v>926</v>
      </c>
      <c r="B46" s="285" t="s">
        <v>1293</v>
      </c>
      <c r="C46" s="286">
        <f>G46*I46</f>
        <v>90.796000000000006</v>
      </c>
      <c r="D46" s="287"/>
      <c r="E46" s="287"/>
      <c r="F46" s="282">
        <f t="shared" si="0"/>
        <v>90.796000000000006</v>
      </c>
      <c r="G46" s="288">
        <f>G42</f>
        <v>45398</v>
      </c>
      <c r="H46" s="289" t="s">
        <v>1279</v>
      </c>
      <c r="I46" s="326">
        <v>2E-3</v>
      </c>
      <c r="J46" s="327"/>
      <c r="K46" s="328"/>
      <c r="L46" s="329">
        <v>6.0605634174308201E-5</v>
      </c>
      <c r="M46" s="308">
        <f t="shared" ca="1" si="1"/>
        <v>1.9743309565755499E-4</v>
      </c>
      <c r="N46" s="325"/>
      <c r="O46" s="325"/>
      <c r="P46" s="325"/>
      <c r="Q46" s="309"/>
      <c r="R46" s="345"/>
      <c r="S46" s="256"/>
      <c r="T46" s="344"/>
      <c r="U46" s="344"/>
      <c r="V46" s="344"/>
      <c r="W46" s="344"/>
      <c r="X46" s="344"/>
      <c r="Y46" s="360"/>
    </row>
    <row r="47" spans="1:25" s="245" customFormat="1" ht="13.8" hidden="1">
      <c r="A47" s="267"/>
      <c r="B47" s="268"/>
      <c r="C47" s="269"/>
      <c r="D47" s="270"/>
      <c r="E47" s="270"/>
      <c r="F47" s="270"/>
      <c r="G47" s="271"/>
      <c r="H47" s="272"/>
      <c r="I47" s="312"/>
      <c r="J47" s="337"/>
      <c r="K47" s="338"/>
      <c r="L47" s="339"/>
      <c r="M47" s="316"/>
      <c r="N47" s="317"/>
      <c r="O47" s="317"/>
      <c r="P47" s="325"/>
      <c r="Q47" s="348"/>
      <c r="R47" s="349"/>
      <c r="S47" s="358"/>
      <c r="T47" s="359"/>
      <c r="U47" s="359"/>
      <c r="V47" s="359"/>
      <c r="W47" s="359"/>
      <c r="X47" s="359"/>
      <c r="Y47" s="366"/>
    </row>
    <row r="48" spans="1:25" s="245" customFormat="1" ht="19.05" hidden="1" customHeight="1">
      <c r="A48" s="267"/>
      <c r="B48" s="296"/>
      <c r="C48" s="269"/>
      <c r="D48" s="270"/>
      <c r="E48" s="270"/>
      <c r="F48" s="270"/>
      <c r="G48" s="271"/>
      <c r="H48" s="272"/>
      <c r="I48" s="312"/>
      <c r="J48" s="337"/>
      <c r="K48" s="338"/>
      <c r="L48" s="339"/>
      <c r="M48" s="316"/>
      <c r="N48" s="317"/>
      <c r="O48" s="317"/>
      <c r="P48" s="325"/>
      <c r="Q48" s="348"/>
      <c r="R48" s="349"/>
      <c r="S48" s="358"/>
      <c r="T48" s="359"/>
      <c r="U48" s="359"/>
      <c r="V48" s="359"/>
      <c r="W48" s="359"/>
      <c r="X48" s="359"/>
      <c r="Y48" s="366"/>
    </row>
    <row r="49" spans="1:25" s="245" customFormat="1" ht="13.8" hidden="1">
      <c r="A49" s="267"/>
      <c r="B49" s="267"/>
      <c r="C49" s="269"/>
      <c r="D49" s="270"/>
      <c r="E49" s="270"/>
      <c r="F49" s="270"/>
      <c r="G49" s="271"/>
      <c r="H49" s="272"/>
      <c r="I49" s="312"/>
      <c r="J49" s="337"/>
      <c r="K49" s="338"/>
      <c r="L49" s="339"/>
      <c r="M49" s="316"/>
      <c r="N49" s="317"/>
      <c r="O49" s="317"/>
      <c r="P49" s="325"/>
      <c r="Q49" s="348"/>
      <c r="R49" s="349"/>
      <c r="S49" s="358"/>
      <c r="T49" s="359"/>
      <c r="U49" s="359"/>
      <c r="V49" s="359"/>
      <c r="W49" s="359"/>
      <c r="X49" s="359"/>
      <c r="Y49" s="366"/>
    </row>
    <row r="50" spans="1:25" s="245" customFormat="1" ht="13.8" hidden="1">
      <c r="A50" s="267"/>
      <c r="B50" s="267"/>
      <c r="C50" s="269"/>
      <c r="D50" s="270"/>
      <c r="E50" s="270"/>
      <c r="F50" s="270"/>
      <c r="G50" s="271"/>
      <c r="H50" s="272"/>
      <c r="I50" s="312"/>
      <c r="J50" s="337"/>
      <c r="K50" s="338"/>
      <c r="L50" s="339"/>
      <c r="M50" s="316"/>
      <c r="N50" s="317"/>
      <c r="O50" s="317"/>
      <c r="P50" s="325"/>
      <c r="Q50" s="348"/>
      <c r="R50" s="349"/>
      <c r="S50" s="358"/>
      <c r="T50" s="359"/>
      <c r="U50" s="359"/>
      <c r="V50" s="359"/>
      <c r="W50" s="359"/>
      <c r="X50" s="359"/>
      <c r="Y50" s="366"/>
    </row>
    <row r="51" spans="1:25" s="245" customFormat="1" ht="13.8" hidden="1">
      <c r="A51" s="267"/>
      <c r="B51" s="268"/>
      <c r="C51" s="269"/>
      <c r="D51" s="270"/>
      <c r="E51" s="270"/>
      <c r="F51" s="270"/>
      <c r="G51" s="271"/>
      <c r="H51" s="272"/>
      <c r="I51" s="312"/>
      <c r="J51" s="337"/>
      <c r="K51" s="338"/>
      <c r="L51" s="339"/>
      <c r="M51" s="316"/>
      <c r="N51" s="317"/>
      <c r="O51" s="317"/>
      <c r="P51" s="325"/>
      <c r="Q51" s="348"/>
      <c r="R51" s="349"/>
      <c r="S51" s="358"/>
      <c r="T51" s="359"/>
      <c r="U51" s="359"/>
      <c r="V51" s="359"/>
      <c r="W51" s="359"/>
      <c r="X51" s="359"/>
      <c r="Y51" s="366"/>
    </row>
    <row r="52" spans="1:25" s="244" customFormat="1" ht="13.8">
      <c r="A52" s="297" t="s">
        <v>1298</v>
      </c>
      <c r="B52" s="298" t="s">
        <v>1299</v>
      </c>
      <c r="C52" s="275">
        <f>SUM(C53:C60)</f>
        <v>481.61750000000001</v>
      </c>
      <c r="D52" s="276">
        <f>SUM(D53:D60)</f>
        <v>13.475800000000001</v>
      </c>
      <c r="E52" s="276">
        <f>SUM(E53:E60)</f>
        <v>0</v>
      </c>
      <c r="F52" s="276">
        <f t="shared" ref="F52:F62" si="8">SUM(C52:E52)</f>
        <v>495.0933</v>
      </c>
      <c r="G52" s="277">
        <f>949</f>
        <v>949</v>
      </c>
      <c r="H52" s="278" t="s">
        <v>1279</v>
      </c>
      <c r="I52" s="318">
        <f>F52/G52</f>
        <v>0.52170000000000005</v>
      </c>
      <c r="J52" s="333"/>
      <c r="K52" s="334"/>
      <c r="L52" s="335"/>
      <c r="M52" s="322">
        <f t="shared" ref="M52:M60" ca="1" si="9">F52/$F$378*100%</f>
        <v>1.04726236781193E-3</v>
      </c>
      <c r="N52" s="323"/>
      <c r="O52" s="323"/>
      <c r="P52" s="323"/>
      <c r="Q52" s="352"/>
      <c r="R52" s="353"/>
      <c r="S52" s="356"/>
      <c r="T52" s="357"/>
      <c r="U52" s="357"/>
      <c r="V52" s="357"/>
      <c r="W52" s="357"/>
      <c r="X52" s="357"/>
      <c r="Y52" s="365"/>
    </row>
    <row r="53" spans="1:25" s="239" customFormat="1" ht="13.8">
      <c r="A53" s="284" t="s">
        <v>929</v>
      </c>
      <c r="B53" s="285" t="s">
        <v>1281</v>
      </c>
      <c r="C53" s="286">
        <f>G53*I53</f>
        <v>3.3214999999999999</v>
      </c>
      <c r="D53" s="287"/>
      <c r="E53" s="287"/>
      <c r="F53" s="282">
        <f t="shared" si="8"/>
        <v>3.3214999999999999</v>
      </c>
      <c r="G53" s="288">
        <f t="shared" ref="G53:G57" si="10">G52</f>
        <v>949</v>
      </c>
      <c r="H53" s="289" t="s">
        <v>1279</v>
      </c>
      <c r="I53" s="326">
        <f>35/10000</f>
        <v>3.5000000000000001E-3</v>
      </c>
      <c r="J53" s="327"/>
      <c r="K53" s="328"/>
      <c r="L53" s="329">
        <v>1.5151408543577E-4</v>
      </c>
      <c r="M53" s="308">
        <f t="shared" ca="1" si="9"/>
        <v>7.2224990883581602E-6</v>
      </c>
      <c r="N53" s="325"/>
      <c r="O53" s="325"/>
      <c r="P53" s="325"/>
      <c r="Q53" s="309"/>
      <c r="R53" s="345"/>
      <c r="S53" s="256"/>
      <c r="T53" s="344"/>
      <c r="U53" s="344"/>
      <c r="V53" s="344"/>
      <c r="W53" s="344"/>
      <c r="X53" s="344"/>
      <c r="Y53" s="360"/>
    </row>
    <row r="54" spans="1:25" s="239" customFormat="1" ht="13.8">
      <c r="A54" s="284" t="s">
        <v>930</v>
      </c>
      <c r="B54" s="285" t="s">
        <v>1283</v>
      </c>
      <c r="C54" s="286">
        <f t="shared" ref="C54:C60" si="11">G54*I54</f>
        <v>455.52</v>
      </c>
      <c r="D54" s="287"/>
      <c r="E54" s="287"/>
      <c r="F54" s="282">
        <f t="shared" si="8"/>
        <v>455.52</v>
      </c>
      <c r="G54" s="288">
        <f t="shared" si="10"/>
        <v>949</v>
      </c>
      <c r="H54" s="289" t="s">
        <v>1279</v>
      </c>
      <c r="I54" s="326">
        <f>4800/10000</f>
        <v>0.48</v>
      </c>
      <c r="J54" s="327"/>
      <c r="K54" s="328"/>
      <c r="L54" s="329">
        <v>7.5757042717885196E-3</v>
      </c>
      <c r="M54" s="308">
        <f t="shared" ca="1" si="9"/>
        <v>9.9051416068912006E-4</v>
      </c>
      <c r="N54" s="325"/>
      <c r="O54" s="325"/>
      <c r="P54" s="325"/>
      <c r="Q54" s="309"/>
      <c r="R54" s="345"/>
      <c r="S54" s="256"/>
      <c r="T54" s="344"/>
      <c r="U54" s="344"/>
      <c r="V54" s="344"/>
      <c r="W54" s="344"/>
      <c r="X54" s="344"/>
      <c r="Y54" s="360"/>
    </row>
    <row r="55" spans="1:25" s="239" customFormat="1" ht="13.8">
      <c r="A55" s="284" t="s">
        <v>931</v>
      </c>
      <c r="B55" s="285" t="s">
        <v>1285</v>
      </c>
      <c r="C55" s="286">
        <f t="shared" si="11"/>
        <v>2.847</v>
      </c>
      <c r="D55" s="287"/>
      <c r="E55" s="287"/>
      <c r="F55" s="282">
        <f t="shared" si="8"/>
        <v>2.847</v>
      </c>
      <c r="G55" s="288">
        <f t="shared" si="10"/>
        <v>949</v>
      </c>
      <c r="H55" s="289" t="s">
        <v>1279</v>
      </c>
      <c r="I55" s="326">
        <f>30/10000</f>
        <v>3.0000000000000001E-3</v>
      </c>
      <c r="J55" s="327"/>
      <c r="K55" s="328"/>
      <c r="L55" s="329">
        <v>4.5454225630731099E-4</v>
      </c>
      <c r="M55" s="308">
        <f t="shared" ca="1" si="9"/>
        <v>6.190713504307E-6</v>
      </c>
      <c r="N55" s="325"/>
      <c r="O55" s="325"/>
      <c r="P55" s="325"/>
      <c r="Q55" s="309"/>
      <c r="R55" s="345"/>
      <c r="S55" s="256"/>
      <c r="T55" s="344"/>
      <c r="U55" s="344"/>
      <c r="V55" s="344"/>
      <c r="W55" s="344"/>
      <c r="X55" s="344"/>
      <c r="Y55" s="360"/>
    </row>
    <row r="56" spans="1:25" s="239" customFormat="1" ht="13.8">
      <c r="A56" s="284" t="s">
        <v>932</v>
      </c>
      <c r="B56" s="285" t="s">
        <v>1286</v>
      </c>
      <c r="C56" s="286">
        <f t="shared" si="11"/>
        <v>3.7960000000000003</v>
      </c>
      <c r="D56" s="287"/>
      <c r="E56" s="287"/>
      <c r="F56" s="282">
        <f t="shared" si="8"/>
        <v>3.7960000000000003</v>
      </c>
      <c r="G56" s="288">
        <f t="shared" si="10"/>
        <v>949</v>
      </c>
      <c r="H56" s="289" t="s">
        <v>1279</v>
      </c>
      <c r="I56" s="326">
        <f>40/10000</f>
        <v>4.0000000000000001E-3</v>
      </c>
      <c r="J56" s="327"/>
      <c r="K56" s="328"/>
      <c r="L56" s="329">
        <v>1.21211268348616E-3</v>
      </c>
      <c r="M56" s="308">
        <f t="shared" ca="1" si="9"/>
        <v>8.2542846724093306E-6</v>
      </c>
      <c r="N56" s="325"/>
      <c r="O56" s="325"/>
      <c r="P56" s="325"/>
      <c r="Q56" s="309"/>
      <c r="R56" s="345"/>
      <c r="S56" s="256"/>
      <c r="T56" s="344"/>
      <c r="U56" s="344"/>
      <c r="V56" s="344"/>
      <c r="W56" s="344"/>
      <c r="X56" s="344"/>
      <c r="Y56" s="360"/>
    </row>
    <row r="57" spans="1:25" s="239" customFormat="1" ht="13.8">
      <c r="A57" s="284" t="s">
        <v>933</v>
      </c>
      <c r="B57" s="285" t="s">
        <v>1287</v>
      </c>
      <c r="C57" s="286">
        <f t="shared" si="11"/>
        <v>8.5409999999999986</v>
      </c>
      <c r="D57" s="287"/>
      <c r="E57" s="287"/>
      <c r="F57" s="282">
        <f t="shared" si="8"/>
        <v>8.5409999999999986</v>
      </c>
      <c r="G57" s="288">
        <f t="shared" si="10"/>
        <v>949</v>
      </c>
      <c r="H57" s="289" t="s">
        <v>1279</v>
      </c>
      <c r="I57" s="326">
        <f>90/10000</f>
        <v>8.9999999999999993E-3</v>
      </c>
      <c r="J57" s="327"/>
      <c r="K57" s="328"/>
      <c r="L57" s="329">
        <v>1.81816902522925E-3</v>
      </c>
      <c r="M57" s="308">
        <f t="shared" ca="1" si="9"/>
        <v>1.8572140512920998E-5</v>
      </c>
      <c r="N57" s="325"/>
      <c r="O57" s="325"/>
      <c r="P57" s="325"/>
      <c r="Q57" s="309"/>
      <c r="R57" s="345"/>
      <c r="S57" s="256"/>
      <c r="T57" s="344"/>
      <c r="U57" s="344"/>
      <c r="V57" s="344"/>
      <c r="W57" s="344"/>
      <c r="X57" s="344"/>
      <c r="Y57" s="360"/>
    </row>
    <row r="58" spans="1:25" s="243" customFormat="1" ht="13.8">
      <c r="A58" s="290" t="s">
        <v>1300</v>
      </c>
      <c r="B58" s="291" t="s">
        <v>1289</v>
      </c>
      <c r="C58" s="293"/>
      <c r="D58" s="292">
        <f>G58*I58</f>
        <v>13.475800000000001</v>
      </c>
      <c r="E58" s="293"/>
      <c r="F58" s="292">
        <f t="shared" si="8"/>
        <v>13.475800000000001</v>
      </c>
      <c r="G58" s="294">
        <v>949</v>
      </c>
      <c r="H58" s="289" t="s">
        <v>1279</v>
      </c>
      <c r="I58" s="326">
        <v>1.4200000000000001E-2</v>
      </c>
      <c r="J58" s="302"/>
      <c r="K58" s="331"/>
      <c r="L58" s="332"/>
      <c r="M58" s="308">
        <f t="shared" ca="1" si="9"/>
        <v>2.9302710587053102E-5</v>
      </c>
      <c r="N58" s="325"/>
      <c r="O58" s="325"/>
      <c r="P58" s="325"/>
      <c r="Q58" s="325"/>
      <c r="R58" s="345"/>
      <c r="S58" s="343"/>
      <c r="T58" s="341"/>
      <c r="U58" s="341"/>
      <c r="V58" s="341"/>
      <c r="W58" s="341"/>
      <c r="X58" s="341"/>
      <c r="Y58" s="364"/>
    </row>
    <row r="59" spans="1:25" s="239" customFormat="1" ht="13.8">
      <c r="A59" s="284" t="s">
        <v>934</v>
      </c>
      <c r="B59" s="285" t="s">
        <v>1292</v>
      </c>
      <c r="C59" s="286">
        <f t="shared" si="11"/>
        <v>5.694</v>
      </c>
      <c r="D59" s="287"/>
      <c r="E59" s="287"/>
      <c r="F59" s="282">
        <f t="shared" si="8"/>
        <v>5.694</v>
      </c>
      <c r="G59" s="288">
        <f>G57</f>
        <v>949</v>
      </c>
      <c r="H59" s="289" t="s">
        <v>1279</v>
      </c>
      <c r="I59" s="326">
        <v>6.0000000000000001E-3</v>
      </c>
      <c r="J59" s="327"/>
      <c r="K59" s="328"/>
      <c r="L59" s="329">
        <v>1.81816902522925E-4</v>
      </c>
      <c r="M59" s="308">
        <f t="shared" ca="1" si="9"/>
        <v>1.2381427008614E-5</v>
      </c>
      <c r="N59" s="325"/>
      <c r="O59" s="325"/>
      <c r="P59" s="325"/>
      <c r="Q59" s="309"/>
      <c r="R59" s="345"/>
      <c r="S59" s="256"/>
      <c r="T59" s="344"/>
      <c r="U59" s="344"/>
      <c r="V59" s="344"/>
      <c r="W59" s="344"/>
      <c r="X59" s="344"/>
      <c r="Y59" s="360"/>
    </row>
    <row r="60" spans="1:25" s="239" customFormat="1" ht="13.8">
      <c r="A60" s="284" t="s">
        <v>935</v>
      </c>
      <c r="B60" s="285" t="s">
        <v>1293</v>
      </c>
      <c r="C60" s="286">
        <f t="shared" si="11"/>
        <v>1.8980000000000001</v>
      </c>
      <c r="D60" s="287"/>
      <c r="E60" s="287"/>
      <c r="F60" s="282">
        <f t="shared" si="8"/>
        <v>1.8980000000000001</v>
      </c>
      <c r="G60" s="288">
        <f>G57</f>
        <v>949</v>
      </c>
      <c r="H60" s="289" t="s">
        <v>1279</v>
      </c>
      <c r="I60" s="326">
        <v>2E-3</v>
      </c>
      <c r="J60" s="327"/>
      <c r="K60" s="328"/>
      <c r="L60" s="329">
        <v>6.0605634174308201E-5</v>
      </c>
      <c r="M60" s="308">
        <f t="shared" ca="1" si="9"/>
        <v>4.1271423362046704E-6</v>
      </c>
      <c r="N60" s="325"/>
      <c r="O60" s="325"/>
      <c r="P60" s="325"/>
      <c r="Q60" s="309"/>
      <c r="R60" s="345"/>
      <c r="S60" s="256"/>
      <c r="T60" s="344"/>
      <c r="U60" s="344"/>
      <c r="V60" s="344"/>
      <c r="W60" s="344"/>
      <c r="X60" s="344"/>
      <c r="Y60" s="360"/>
    </row>
    <row r="61" spans="1:25" s="245" customFormat="1" ht="13.8" hidden="1">
      <c r="A61" s="299"/>
      <c r="B61" s="268"/>
      <c r="C61" s="269"/>
      <c r="D61" s="269"/>
      <c r="E61" s="269"/>
      <c r="F61" s="270"/>
      <c r="G61" s="271"/>
      <c r="H61" s="272"/>
      <c r="I61" s="312"/>
      <c r="J61" s="337"/>
      <c r="K61" s="338"/>
      <c r="L61" s="339"/>
      <c r="M61" s="316"/>
      <c r="N61" s="317"/>
      <c r="O61" s="317"/>
      <c r="P61" s="325"/>
      <c r="Q61" s="348"/>
      <c r="R61" s="349"/>
      <c r="S61" s="358"/>
      <c r="T61" s="359"/>
      <c r="U61" s="359"/>
      <c r="V61" s="359"/>
      <c r="W61" s="359"/>
      <c r="X61" s="359"/>
      <c r="Y61" s="366"/>
    </row>
    <row r="62" spans="1:25" s="244" customFormat="1" ht="13.8">
      <c r="A62" s="295">
        <v>1.6</v>
      </c>
      <c r="B62" s="298" t="s">
        <v>1301</v>
      </c>
      <c r="C62" s="275">
        <f>SUM(C63:C70)</f>
        <v>264.40749999999991</v>
      </c>
      <c r="D62" s="275">
        <f t="shared" ref="D62:E62" si="12">SUM(D63:D70)</f>
        <v>7.3982000000000001</v>
      </c>
      <c r="E62" s="275">
        <f t="shared" si="12"/>
        <v>0</v>
      </c>
      <c r="F62" s="276">
        <f t="shared" si="8"/>
        <v>271.80569999999989</v>
      </c>
      <c r="G62" s="277">
        <f>521</f>
        <v>521</v>
      </c>
      <c r="H62" s="278" t="s">
        <v>1279</v>
      </c>
      <c r="I62" s="318">
        <f>F62/G62</f>
        <v>0.52169999999999983</v>
      </c>
      <c r="J62" s="333"/>
      <c r="K62" s="334"/>
      <c r="L62" s="335"/>
      <c r="M62" s="322">
        <f t="shared" ref="M62:M70" ca="1" si="13">F62/$F$378*100%</f>
        <v>5.7494593638568795E-4</v>
      </c>
      <c r="N62" s="323"/>
      <c r="O62" s="323"/>
      <c r="P62" s="323"/>
      <c r="Q62" s="352"/>
      <c r="R62" s="353"/>
      <c r="S62" s="356"/>
      <c r="T62" s="357"/>
      <c r="U62" s="357"/>
      <c r="V62" s="357"/>
      <c r="W62" s="357"/>
      <c r="X62" s="357"/>
      <c r="Y62" s="365"/>
    </row>
    <row r="63" spans="1:25" s="239" customFormat="1" ht="13.8">
      <c r="A63" s="284" t="s">
        <v>938</v>
      </c>
      <c r="B63" s="285" t="s">
        <v>1281</v>
      </c>
      <c r="C63" s="286">
        <f>G63*I63</f>
        <v>1.8235000000000001</v>
      </c>
      <c r="D63" s="287"/>
      <c r="E63" s="287"/>
      <c r="F63" s="282">
        <f t="shared" ref="F63:F70" si="14">SUM(C63:E63)</f>
        <v>1.8235000000000001</v>
      </c>
      <c r="G63" s="288">
        <f t="shared" ref="G63:G67" si="15">G62</f>
        <v>521</v>
      </c>
      <c r="H63" s="289" t="s">
        <v>1279</v>
      </c>
      <c r="I63" s="326">
        <f>35/10000</f>
        <v>3.5000000000000001E-3</v>
      </c>
      <c r="J63" s="327"/>
      <c r="K63" s="328"/>
      <c r="L63" s="329">
        <v>1.5151408543577E-4</v>
      </c>
      <c r="M63" s="308">
        <f t="shared" ca="1" si="13"/>
        <v>3.9651443888668104E-6</v>
      </c>
      <c r="N63" s="325"/>
      <c r="O63" s="325"/>
      <c r="P63" s="325"/>
      <c r="Q63" s="309"/>
      <c r="R63" s="345"/>
      <c r="S63" s="256"/>
      <c r="T63" s="344"/>
      <c r="U63" s="344"/>
      <c r="V63" s="344"/>
      <c r="W63" s="344"/>
      <c r="X63" s="344"/>
      <c r="Y63" s="360"/>
    </row>
    <row r="64" spans="1:25" s="239" customFormat="1" ht="13.8">
      <c r="A64" s="284" t="s">
        <v>939</v>
      </c>
      <c r="B64" s="285" t="s">
        <v>1283</v>
      </c>
      <c r="C64" s="286">
        <f t="shared" ref="C64:C70" si="16">G64*I64</f>
        <v>250.07999999999998</v>
      </c>
      <c r="D64" s="287"/>
      <c r="E64" s="287"/>
      <c r="F64" s="282">
        <f t="shared" si="14"/>
        <v>250.07999999999998</v>
      </c>
      <c r="G64" s="288">
        <f t="shared" si="15"/>
        <v>521</v>
      </c>
      <c r="H64" s="289" t="s">
        <v>1279</v>
      </c>
      <c r="I64" s="326">
        <f>4800/10000</f>
        <v>0.48</v>
      </c>
      <c r="J64" s="327"/>
      <c r="K64" s="328"/>
      <c r="L64" s="329">
        <v>7.5757042717885196E-3</v>
      </c>
      <c r="M64" s="308">
        <f t="shared" ca="1" si="13"/>
        <v>5.4379123047316297E-4</v>
      </c>
      <c r="N64" s="325"/>
      <c r="O64" s="325"/>
      <c r="P64" s="325"/>
      <c r="Q64" s="309"/>
      <c r="R64" s="345"/>
      <c r="S64" s="256"/>
      <c r="T64" s="344"/>
      <c r="U64" s="344"/>
      <c r="V64" s="344"/>
      <c r="W64" s="344"/>
      <c r="X64" s="344"/>
      <c r="Y64" s="360"/>
    </row>
    <row r="65" spans="1:25" s="239" customFormat="1" ht="13.8">
      <c r="A65" s="284" t="s">
        <v>940</v>
      </c>
      <c r="B65" s="285" t="s">
        <v>1285</v>
      </c>
      <c r="C65" s="286">
        <f t="shared" si="16"/>
        <v>1.5629999999999999</v>
      </c>
      <c r="D65" s="287"/>
      <c r="E65" s="287"/>
      <c r="F65" s="282">
        <f t="shared" si="14"/>
        <v>1.5629999999999999</v>
      </c>
      <c r="G65" s="288">
        <f t="shared" si="15"/>
        <v>521</v>
      </c>
      <c r="H65" s="289" t="s">
        <v>1279</v>
      </c>
      <c r="I65" s="326">
        <f>30/10000</f>
        <v>3.0000000000000001E-3</v>
      </c>
      <c r="J65" s="327"/>
      <c r="K65" s="328"/>
      <c r="L65" s="329">
        <v>4.5454225630731099E-4</v>
      </c>
      <c r="M65" s="308">
        <f t="shared" ca="1" si="13"/>
        <v>3.3986951904572702E-6</v>
      </c>
      <c r="N65" s="325"/>
      <c r="O65" s="325"/>
      <c r="P65" s="325"/>
      <c r="Q65" s="309"/>
      <c r="R65" s="345"/>
      <c r="S65" s="256"/>
      <c r="T65" s="344"/>
      <c r="U65" s="344"/>
      <c r="V65" s="344"/>
      <c r="W65" s="344"/>
      <c r="X65" s="344"/>
      <c r="Y65" s="360"/>
    </row>
    <row r="66" spans="1:25" s="239" customFormat="1" ht="13.8">
      <c r="A66" s="284" t="s">
        <v>941</v>
      </c>
      <c r="B66" s="285" t="s">
        <v>1286</v>
      </c>
      <c r="C66" s="286">
        <f t="shared" si="16"/>
        <v>2.0840000000000001</v>
      </c>
      <c r="D66" s="287"/>
      <c r="E66" s="287"/>
      <c r="F66" s="282">
        <f t="shared" si="14"/>
        <v>2.0840000000000001</v>
      </c>
      <c r="G66" s="288">
        <f t="shared" si="15"/>
        <v>521</v>
      </c>
      <c r="H66" s="289" t="s">
        <v>1279</v>
      </c>
      <c r="I66" s="326">
        <f>40/10000</f>
        <v>4.0000000000000001E-3</v>
      </c>
      <c r="J66" s="327"/>
      <c r="K66" s="328"/>
      <c r="L66" s="329">
        <v>1.21211268348616E-3</v>
      </c>
      <c r="M66" s="308">
        <f t="shared" ca="1" si="13"/>
        <v>4.5315935872763603E-6</v>
      </c>
      <c r="N66" s="325"/>
      <c r="O66" s="325"/>
      <c r="P66" s="325"/>
      <c r="Q66" s="309"/>
      <c r="R66" s="345"/>
      <c r="S66" s="256"/>
      <c r="T66" s="344"/>
      <c r="U66" s="344"/>
      <c r="V66" s="344"/>
      <c r="W66" s="344"/>
      <c r="X66" s="344"/>
      <c r="Y66" s="360"/>
    </row>
    <row r="67" spans="1:25" s="239" customFormat="1" ht="13.8">
      <c r="A67" s="284" t="s">
        <v>942</v>
      </c>
      <c r="B67" s="285" t="s">
        <v>1287</v>
      </c>
      <c r="C67" s="286">
        <f t="shared" si="16"/>
        <v>4.6890000000000001</v>
      </c>
      <c r="D67" s="287"/>
      <c r="E67" s="287"/>
      <c r="F67" s="282">
        <f t="shared" si="14"/>
        <v>4.6890000000000001</v>
      </c>
      <c r="G67" s="288">
        <f t="shared" si="15"/>
        <v>521</v>
      </c>
      <c r="H67" s="289" t="s">
        <v>1279</v>
      </c>
      <c r="I67" s="326">
        <f>90/10000</f>
        <v>8.9999999999999993E-3</v>
      </c>
      <c r="J67" s="327"/>
      <c r="K67" s="328"/>
      <c r="L67" s="329">
        <v>1.81816902522925E-3</v>
      </c>
      <c r="M67" s="308">
        <f t="shared" ca="1" si="13"/>
        <v>1.01960855713718E-5</v>
      </c>
      <c r="N67" s="325"/>
      <c r="O67" s="325"/>
      <c r="P67" s="325"/>
      <c r="Q67" s="309"/>
      <c r="R67" s="345"/>
      <c r="S67" s="256"/>
      <c r="T67" s="344"/>
      <c r="U67" s="344"/>
      <c r="V67" s="344"/>
      <c r="W67" s="344"/>
      <c r="X67" s="344"/>
      <c r="Y67" s="360"/>
    </row>
    <row r="68" spans="1:25" s="243" customFormat="1" ht="13.8">
      <c r="A68" s="290" t="s">
        <v>1302</v>
      </c>
      <c r="B68" s="291" t="s">
        <v>1289</v>
      </c>
      <c r="C68" s="293"/>
      <c r="D68" s="292">
        <f>G68*I68</f>
        <v>7.3982000000000001</v>
      </c>
      <c r="E68" s="293"/>
      <c r="F68" s="292">
        <f t="shared" si="14"/>
        <v>7.3982000000000001</v>
      </c>
      <c r="G68" s="294">
        <v>521</v>
      </c>
      <c r="H68" s="289" t="s">
        <v>1279</v>
      </c>
      <c r="I68" s="326">
        <v>1.4200000000000001E-2</v>
      </c>
      <c r="J68" s="302"/>
      <c r="K68" s="331"/>
      <c r="L68" s="332"/>
      <c r="M68" s="308">
        <f t="shared" ca="1" si="13"/>
        <v>1.6087157234831099E-5</v>
      </c>
      <c r="N68" s="325"/>
      <c r="O68" s="325"/>
      <c r="P68" s="325"/>
      <c r="Q68" s="325"/>
      <c r="R68" s="345"/>
      <c r="S68" s="343"/>
      <c r="T68" s="341"/>
      <c r="U68" s="341"/>
      <c r="V68" s="341"/>
      <c r="W68" s="341"/>
      <c r="X68" s="341"/>
      <c r="Y68" s="364"/>
    </row>
    <row r="69" spans="1:25" s="239" customFormat="1" ht="13.8">
      <c r="A69" s="284" t="s">
        <v>943</v>
      </c>
      <c r="B69" s="285" t="s">
        <v>1292</v>
      </c>
      <c r="C69" s="286">
        <f t="shared" si="16"/>
        <v>3.1259999999999999</v>
      </c>
      <c r="D69" s="287"/>
      <c r="E69" s="287"/>
      <c r="F69" s="282">
        <f t="shared" si="14"/>
        <v>3.1259999999999999</v>
      </c>
      <c r="G69" s="288">
        <f>G67</f>
        <v>521</v>
      </c>
      <c r="H69" s="289" t="s">
        <v>1279</v>
      </c>
      <c r="I69" s="326">
        <v>6.0000000000000001E-3</v>
      </c>
      <c r="J69" s="327"/>
      <c r="K69" s="328"/>
      <c r="L69" s="329">
        <v>1.81816902522925E-4</v>
      </c>
      <c r="M69" s="308">
        <f t="shared" ca="1" si="13"/>
        <v>6.7973903809145302E-6</v>
      </c>
      <c r="N69" s="325"/>
      <c r="O69" s="325"/>
      <c r="P69" s="325"/>
      <c r="Q69" s="309"/>
      <c r="R69" s="345"/>
      <c r="S69" s="256"/>
      <c r="T69" s="344"/>
      <c r="U69" s="344"/>
      <c r="V69" s="344"/>
      <c r="W69" s="344"/>
      <c r="X69" s="344"/>
      <c r="Y69" s="360"/>
    </row>
    <row r="70" spans="1:25" s="239" customFormat="1" ht="13.8">
      <c r="A70" s="284" t="s">
        <v>944</v>
      </c>
      <c r="B70" s="285" t="s">
        <v>1293</v>
      </c>
      <c r="C70" s="286">
        <f t="shared" si="16"/>
        <v>1.042</v>
      </c>
      <c r="D70" s="287"/>
      <c r="E70" s="287"/>
      <c r="F70" s="282">
        <f t="shared" si="14"/>
        <v>1.042</v>
      </c>
      <c r="G70" s="288">
        <f>G67</f>
        <v>521</v>
      </c>
      <c r="H70" s="289" t="s">
        <v>1279</v>
      </c>
      <c r="I70" s="326">
        <v>2E-3</v>
      </c>
      <c r="J70" s="327"/>
      <c r="K70" s="328"/>
      <c r="L70" s="329">
        <v>6.0605634174308201E-5</v>
      </c>
      <c r="M70" s="308">
        <f t="shared" ca="1" si="13"/>
        <v>2.2657967936381801E-6</v>
      </c>
      <c r="N70" s="325"/>
      <c r="O70" s="325"/>
      <c r="P70" s="325"/>
      <c r="Q70" s="309"/>
      <c r="R70" s="345"/>
      <c r="S70" s="256"/>
      <c r="T70" s="344"/>
      <c r="U70" s="344"/>
      <c r="V70" s="344"/>
      <c r="W70" s="344"/>
      <c r="X70" s="344"/>
      <c r="Y70" s="360"/>
    </row>
    <row r="71" spans="1:25" s="245" customFormat="1" ht="13.8" hidden="1">
      <c r="A71" s="267"/>
      <c r="B71" s="296"/>
      <c r="C71" s="269"/>
      <c r="D71" s="270"/>
      <c r="E71" s="270"/>
      <c r="F71" s="270"/>
      <c r="G71" s="271"/>
      <c r="H71" s="272"/>
      <c r="I71" s="312"/>
      <c r="J71" s="337"/>
      <c r="K71" s="338"/>
      <c r="L71" s="339"/>
      <c r="M71" s="316"/>
      <c r="N71" s="317"/>
      <c r="O71" s="317"/>
      <c r="P71" s="325"/>
      <c r="Q71" s="348"/>
      <c r="R71" s="349"/>
      <c r="S71" s="358"/>
      <c r="T71" s="359"/>
      <c r="U71" s="359"/>
      <c r="V71" s="359"/>
      <c r="W71" s="359"/>
      <c r="X71" s="359"/>
      <c r="Y71" s="366"/>
    </row>
    <row r="72" spans="1:25" s="244" customFormat="1" ht="13.8">
      <c r="A72" s="295">
        <v>1.7</v>
      </c>
      <c r="B72" s="274" t="s">
        <v>1303</v>
      </c>
      <c r="C72" s="275">
        <f>G72*I72</f>
        <v>463.79999999999995</v>
      </c>
      <c r="D72" s="276"/>
      <c r="E72" s="276"/>
      <c r="F72" s="276">
        <f t="shared" ref="F72:F88" si="17">SUM(C72:E72)</f>
        <v>463.79999999999995</v>
      </c>
      <c r="G72" s="277">
        <v>7730</v>
      </c>
      <c r="H72" s="278" t="s">
        <v>1304</v>
      </c>
      <c r="I72" s="318">
        <v>0.06</v>
      </c>
      <c r="J72" s="333"/>
      <c r="K72" s="334"/>
      <c r="L72" s="335"/>
      <c r="M72" s="322">
        <f t="shared" ref="M72:M103" ca="1" si="18">F72/$F$378*100%</f>
        <v>1.00851876476909E-3</v>
      </c>
      <c r="N72" s="323"/>
      <c r="O72" s="323"/>
      <c r="P72" s="323"/>
      <c r="Q72" s="352"/>
      <c r="R72" s="353"/>
      <c r="S72" s="356"/>
      <c r="T72" s="357" t="s">
        <v>1305</v>
      </c>
      <c r="U72" s="357"/>
      <c r="V72" s="357"/>
      <c r="W72" s="357"/>
      <c r="X72" s="357"/>
      <c r="Y72" s="365"/>
    </row>
    <row r="73" spans="1:25" s="239" customFormat="1" ht="13.8">
      <c r="A73" s="264">
        <v>2</v>
      </c>
      <c r="B73" s="264" t="s">
        <v>1306</v>
      </c>
      <c r="C73" s="265">
        <f>C74+C87+C100+C113+C125+C137+C149+C161+C173+C185+C197</f>
        <v>93597.712999999989</v>
      </c>
      <c r="D73" s="265">
        <f>D74+D87+D100+D113+D125+D137+D149+D161+D173+D185+D197</f>
        <v>650.97450000000003</v>
      </c>
      <c r="E73" s="265">
        <f>E74+E87+E100+E113+E125+E137+E149+E161+E173+E185+E197</f>
        <v>0</v>
      </c>
      <c r="F73" s="263">
        <f t="shared" si="17"/>
        <v>94248.687499999985</v>
      </c>
      <c r="G73" s="263"/>
      <c r="H73" s="258"/>
      <c r="I73" s="310"/>
      <c r="J73" s="303"/>
      <c r="K73" s="306"/>
      <c r="L73" s="307"/>
      <c r="M73" s="304">
        <f t="shared" ca="1" si="18"/>
        <v>0.204308142853144</v>
      </c>
      <c r="N73" s="311"/>
      <c r="O73" s="311"/>
      <c r="P73" s="325"/>
      <c r="Q73" s="300"/>
      <c r="R73" s="340"/>
      <c r="S73" s="256"/>
      <c r="T73" s="344"/>
      <c r="U73" s="344"/>
      <c r="V73" s="344"/>
      <c r="W73" s="344"/>
      <c r="X73" s="344"/>
      <c r="Y73" s="360"/>
    </row>
    <row r="74" spans="1:25" s="244" customFormat="1" ht="13.8">
      <c r="A74" s="297">
        <v>2.1</v>
      </c>
      <c r="B74" s="274" t="s">
        <v>1307</v>
      </c>
      <c r="C74" s="275">
        <f>SUM(C75:C86)</f>
        <v>19874.13</v>
      </c>
      <c r="D74" s="275">
        <f>SUM(D75:D86)</f>
        <v>356.51249999999999</v>
      </c>
      <c r="E74" s="275">
        <f>SUM(E75:E86)</f>
        <v>0</v>
      </c>
      <c r="F74" s="276">
        <f t="shared" si="17"/>
        <v>20230.642500000002</v>
      </c>
      <c r="G74" s="277">
        <v>39225</v>
      </c>
      <c r="H74" s="278" t="s">
        <v>1279</v>
      </c>
      <c r="I74" s="318">
        <f>F74/G74</f>
        <v>0.51575889101338435</v>
      </c>
      <c r="J74" s="333"/>
      <c r="K74" s="334"/>
      <c r="L74" s="335"/>
      <c r="M74" s="322">
        <f t="shared" ca="1" si="18"/>
        <v>4.3607085847603803E-2</v>
      </c>
      <c r="N74" s="323"/>
      <c r="O74" s="323"/>
      <c r="P74" s="323"/>
      <c r="Q74" s="352"/>
      <c r="R74" s="353"/>
      <c r="S74" s="356"/>
      <c r="T74" s="357"/>
      <c r="U74" s="357"/>
      <c r="V74" s="357"/>
      <c r="W74" s="357"/>
      <c r="X74" s="357"/>
      <c r="Y74" s="365"/>
    </row>
    <row r="75" spans="1:25" s="238" customFormat="1" ht="13.8">
      <c r="A75" s="367" t="s">
        <v>950</v>
      </c>
      <c r="B75" s="280" t="str">
        <f>B35</f>
        <v>场平</v>
      </c>
      <c r="C75" s="281">
        <f>G75*I75</f>
        <v>496.98</v>
      </c>
      <c r="D75" s="281"/>
      <c r="E75" s="281"/>
      <c r="F75" s="282">
        <f t="shared" si="17"/>
        <v>496.98</v>
      </c>
      <c r="G75" s="283">
        <v>24849</v>
      </c>
      <c r="H75" s="260" t="s">
        <v>1279</v>
      </c>
      <c r="I75" s="324">
        <f>I35</f>
        <v>0.02</v>
      </c>
      <c r="J75" s="331"/>
      <c r="K75" s="336"/>
      <c r="L75" s="332"/>
      <c r="M75" s="308">
        <f t="shared" ca="1" si="18"/>
        <v>1.0806676492344501E-3</v>
      </c>
      <c r="N75" s="325"/>
      <c r="O75" s="325"/>
      <c r="P75" s="325"/>
      <c r="Q75" s="309"/>
      <c r="R75" s="345"/>
      <c r="S75" s="343"/>
      <c r="T75" s="341"/>
      <c r="U75" s="341"/>
      <c r="V75" s="341"/>
      <c r="W75" s="341"/>
      <c r="X75" s="341"/>
      <c r="Y75" s="364"/>
    </row>
    <row r="76" spans="1:25" s="239" customFormat="1" ht="13.8">
      <c r="A76" s="284" t="s">
        <v>951</v>
      </c>
      <c r="B76" s="285" t="s">
        <v>1281</v>
      </c>
      <c r="C76" s="286">
        <f>G76*I76</f>
        <v>196.125</v>
      </c>
      <c r="D76" s="287"/>
      <c r="E76" s="287"/>
      <c r="F76" s="282">
        <f t="shared" si="17"/>
        <v>196.125</v>
      </c>
      <c r="G76" s="288">
        <f>G74</f>
        <v>39225</v>
      </c>
      <c r="H76" s="289" t="s">
        <v>1279</v>
      </c>
      <c r="I76" s="326">
        <v>5.0000000000000001E-3</v>
      </c>
      <c r="J76" s="327"/>
      <c r="K76" s="328"/>
      <c r="L76" s="329">
        <v>1.5151408543577E-4</v>
      </c>
      <c r="M76" s="308">
        <f t="shared" ca="1" si="18"/>
        <v>4.2646775062599602E-4</v>
      </c>
      <c r="N76" s="325"/>
      <c r="O76" s="325"/>
      <c r="P76" s="325"/>
      <c r="Q76" s="309"/>
      <c r="R76" s="345"/>
      <c r="S76" s="256"/>
      <c r="T76" s="344"/>
      <c r="U76" s="344"/>
      <c r="V76" s="344"/>
      <c r="W76" s="344"/>
      <c r="X76" s="344"/>
      <c r="Y76" s="360"/>
    </row>
    <row r="77" spans="1:25" s="239" customFormat="1" ht="13.8">
      <c r="A77" s="284" t="s">
        <v>952</v>
      </c>
      <c r="B77" s="285" t="s">
        <v>1282</v>
      </c>
      <c r="C77" s="286">
        <f t="shared" ref="C77:C82" si="19">G77*I77</f>
        <v>235.35</v>
      </c>
      <c r="D77" s="287"/>
      <c r="E77" s="287"/>
      <c r="F77" s="282">
        <f t="shared" si="17"/>
        <v>235.35</v>
      </c>
      <c r="G77" s="288">
        <f t="shared" ref="G77:G82" si="20">G76</f>
        <v>39225</v>
      </c>
      <c r="H77" s="289" t="s">
        <v>1279</v>
      </c>
      <c r="I77" s="326">
        <v>6.0000000000000001E-3</v>
      </c>
      <c r="J77" s="327"/>
      <c r="K77" s="328"/>
      <c r="L77" s="329">
        <v>1.81816902522925E-4</v>
      </c>
      <c r="M77" s="308">
        <f t="shared" ca="1" si="18"/>
        <v>5.1176130075119501E-4</v>
      </c>
      <c r="N77" s="325"/>
      <c r="O77" s="325"/>
      <c r="P77" s="325"/>
      <c r="Q77" s="309"/>
      <c r="R77" s="345"/>
      <c r="S77" s="256"/>
      <c r="T77" s="344"/>
      <c r="U77" s="344"/>
      <c r="V77" s="344"/>
      <c r="W77" s="344"/>
      <c r="X77" s="344"/>
      <c r="Y77" s="360"/>
    </row>
    <row r="78" spans="1:25" s="239" customFormat="1" ht="13.8">
      <c r="A78" s="367" t="s">
        <v>953</v>
      </c>
      <c r="B78" s="285" t="s">
        <v>1283</v>
      </c>
      <c r="C78" s="286">
        <f t="shared" si="19"/>
        <v>9414</v>
      </c>
      <c r="D78" s="287"/>
      <c r="E78" s="287"/>
      <c r="F78" s="282">
        <f t="shared" si="17"/>
        <v>9414</v>
      </c>
      <c r="G78" s="288">
        <f t="shared" si="20"/>
        <v>39225</v>
      </c>
      <c r="H78" s="289" t="s">
        <v>1279</v>
      </c>
      <c r="I78" s="326">
        <v>0.24</v>
      </c>
      <c r="J78" s="327"/>
      <c r="K78" s="328"/>
      <c r="L78" s="329">
        <v>7.5757042717885196E-3</v>
      </c>
      <c r="M78" s="308">
        <f t="shared" ca="1" si="18"/>
        <v>2.0470452030047801E-2</v>
      </c>
      <c r="N78" s="325"/>
      <c r="O78" s="325"/>
      <c r="P78" s="325"/>
      <c r="Q78" s="309"/>
      <c r="R78" s="345"/>
      <c r="S78" s="256"/>
      <c r="T78" s="344"/>
      <c r="U78" s="344"/>
      <c r="V78" s="344"/>
      <c r="W78" s="344"/>
      <c r="X78" s="344"/>
      <c r="Y78" s="360"/>
    </row>
    <row r="79" spans="1:25" s="239" customFormat="1" ht="13.8">
      <c r="A79" s="284" t="s">
        <v>954</v>
      </c>
      <c r="B79" s="285" t="s">
        <v>1284</v>
      </c>
      <c r="C79" s="286">
        <f t="shared" si="19"/>
        <v>4707</v>
      </c>
      <c r="D79" s="287"/>
      <c r="E79" s="287"/>
      <c r="F79" s="282">
        <f t="shared" si="17"/>
        <v>4707</v>
      </c>
      <c r="G79" s="288">
        <f t="shared" si="20"/>
        <v>39225</v>
      </c>
      <c r="H79" s="289" t="s">
        <v>1279</v>
      </c>
      <c r="I79" s="326">
        <v>0.12</v>
      </c>
      <c r="J79" s="327"/>
      <c r="K79" s="328"/>
      <c r="L79" s="329">
        <v>4.5454225630731102E-3</v>
      </c>
      <c r="M79" s="308">
        <f t="shared" ca="1" si="18"/>
        <v>1.0235226015023901E-2</v>
      </c>
      <c r="N79" s="325"/>
      <c r="O79" s="325"/>
      <c r="P79" s="325"/>
      <c r="Q79" s="309"/>
      <c r="R79" s="345"/>
      <c r="S79" s="256"/>
      <c r="T79" s="344"/>
      <c r="U79" s="344"/>
      <c r="V79" s="344"/>
      <c r="W79" s="344"/>
      <c r="X79" s="344"/>
      <c r="Y79" s="360"/>
    </row>
    <row r="80" spans="1:25" s="239" customFormat="1" ht="13.8">
      <c r="A80" s="284" t="s">
        <v>955</v>
      </c>
      <c r="B80" s="285" t="s">
        <v>1285</v>
      </c>
      <c r="C80" s="286">
        <f t="shared" si="19"/>
        <v>588.375</v>
      </c>
      <c r="D80" s="287"/>
      <c r="E80" s="287"/>
      <c r="F80" s="282">
        <f t="shared" si="17"/>
        <v>588.375</v>
      </c>
      <c r="G80" s="288">
        <f t="shared" si="20"/>
        <v>39225</v>
      </c>
      <c r="H80" s="289" t="s">
        <v>1279</v>
      </c>
      <c r="I80" s="326">
        <v>1.4999999999999999E-2</v>
      </c>
      <c r="J80" s="327"/>
      <c r="K80" s="328"/>
      <c r="L80" s="329">
        <v>4.5454225630731099E-4</v>
      </c>
      <c r="M80" s="308">
        <f t="shared" ca="1" si="18"/>
        <v>1.27940325187799E-3</v>
      </c>
      <c r="N80" s="325"/>
      <c r="O80" s="325"/>
      <c r="P80" s="325"/>
      <c r="Q80" s="309"/>
      <c r="R80" s="345"/>
      <c r="S80" s="256"/>
      <c r="T80" s="344"/>
      <c r="U80" s="344"/>
      <c r="V80" s="344"/>
      <c r="W80" s="344"/>
      <c r="X80" s="344"/>
      <c r="Y80" s="360"/>
    </row>
    <row r="81" spans="1:25" s="239" customFormat="1" ht="13.8">
      <c r="A81" s="367" t="s">
        <v>956</v>
      </c>
      <c r="B81" s="285" t="s">
        <v>1286</v>
      </c>
      <c r="C81" s="286">
        <f t="shared" si="19"/>
        <v>1176.75</v>
      </c>
      <c r="D81" s="287"/>
      <c r="E81" s="287"/>
      <c r="F81" s="282">
        <f t="shared" si="17"/>
        <v>1176.75</v>
      </c>
      <c r="G81" s="288">
        <f t="shared" si="20"/>
        <v>39225</v>
      </c>
      <c r="H81" s="289" t="s">
        <v>1279</v>
      </c>
      <c r="I81" s="326">
        <v>0.03</v>
      </c>
      <c r="J81" s="327"/>
      <c r="K81" s="328"/>
      <c r="L81" s="329">
        <v>1.21211268348616E-3</v>
      </c>
      <c r="M81" s="308">
        <f t="shared" ca="1" si="18"/>
        <v>2.5588065037559699E-3</v>
      </c>
      <c r="N81" s="325"/>
      <c r="O81" s="325"/>
      <c r="P81" s="325"/>
      <c r="Q81" s="309"/>
      <c r="R81" s="345"/>
      <c r="S81" s="256"/>
      <c r="T81" s="344"/>
      <c r="U81" s="344"/>
      <c r="V81" s="344"/>
      <c r="W81" s="344"/>
      <c r="X81" s="344"/>
      <c r="Y81" s="360"/>
    </row>
    <row r="82" spans="1:25" s="239" customFormat="1" ht="13.8">
      <c r="A82" s="284" t="s">
        <v>957</v>
      </c>
      <c r="B82" s="285" t="s">
        <v>1287</v>
      </c>
      <c r="C82" s="286">
        <f t="shared" si="19"/>
        <v>2745.7500000000005</v>
      </c>
      <c r="D82" s="287"/>
      <c r="E82" s="287"/>
      <c r="F82" s="282">
        <f t="shared" si="17"/>
        <v>2745.7500000000005</v>
      </c>
      <c r="G82" s="288">
        <f t="shared" si="20"/>
        <v>39225</v>
      </c>
      <c r="H82" s="289" t="s">
        <v>1279</v>
      </c>
      <c r="I82" s="326">
        <v>7.0000000000000007E-2</v>
      </c>
      <c r="J82" s="327"/>
      <c r="K82" s="328"/>
      <c r="L82" s="329">
        <v>1.81816902522925E-3</v>
      </c>
      <c r="M82" s="308">
        <f t="shared" ca="1" si="18"/>
        <v>5.9705485087639398E-3</v>
      </c>
      <c r="N82" s="325"/>
      <c r="O82" s="325"/>
      <c r="P82" s="325"/>
      <c r="Q82" s="309"/>
      <c r="R82" s="345"/>
      <c r="S82" s="256"/>
      <c r="T82" s="344"/>
      <c r="U82" s="344"/>
      <c r="V82" s="344"/>
      <c r="W82" s="344"/>
      <c r="X82" s="344"/>
      <c r="Y82" s="360"/>
    </row>
    <row r="83" spans="1:25" s="243" customFormat="1" ht="13.8">
      <c r="A83" s="290" t="s">
        <v>1308</v>
      </c>
      <c r="B83" s="291" t="s">
        <v>1289</v>
      </c>
      <c r="C83" s="293"/>
      <c r="D83" s="292">
        <f>G83*I83</f>
        <v>176.51249999999999</v>
      </c>
      <c r="E83" s="293"/>
      <c r="F83" s="292">
        <f t="shared" si="17"/>
        <v>176.51249999999999</v>
      </c>
      <c r="G83" s="294">
        <v>39225</v>
      </c>
      <c r="H83" s="289" t="s">
        <v>1279</v>
      </c>
      <c r="I83" s="326">
        <v>4.4999999999999997E-3</v>
      </c>
      <c r="J83" s="302"/>
      <c r="K83" s="331"/>
      <c r="L83" s="332"/>
      <c r="M83" s="308">
        <f t="shared" ca="1" si="18"/>
        <v>3.8382097556339601E-4</v>
      </c>
      <c r="N83" s="325"/>
      <c r="O83" s="325"/>
      <c r="P83" s="325"/>
      <c r="Q83" s="325"/>
      <c r="R83" s="345"/>
      <c r="S83" s="343"/>
      <c r="T83" s="341"/>
      <c r="U83" s="341"/>
      <c r="V83" s="341"/>
      <c r="W83" s="341"/>
      <c r="X83" s="341"/>
      <c r="Y83" s="364"/>
    </row>
    <row r="84" spans="1:25" s="239" customFormat="1" ht="13.8">
      <c r="A84" s="284" t="s">
        <v>958</v>
      </c>
      <c r="B84" s="285" t="s">
        <v>1290</v>
      </c>
      <c r="C84" s="286"/>
      <c r="D84" s="287">
        <f>G84*I84</f>
        <v>180</v>
      </c>
      <c r="E84" s="287"/>
      <c r="F84" s="282">
        <f t="shared" si="17"/>
        <v>180</v>
      </c>
      <c r="G84" s="288">
        <v>4</v>
      </c>
      <c r="H84" s="289" t="s">
        <v>1291</v>
      </c>
      <c r="I84" s="326">
        <v>45</v>
      </c>
      <c r="J84" s="327"/>
      <c r="K84" s="328"/>
      <c r="L84" s="329">
        <v>1.4004588363170699E-4</v>
      </c>
      <c r="M84" s="308">
        <f t="shared" ca="1" si="18"/>
        <v>3.9140443652099002E-4</v>
      </c>
      <c r="N84" s="325"/>
      <c r="O84" s="325"/>
      <c r="P84" s="325"/>
      <c r="Q84" s="309"/>
      <c r="R84" s="345"/>
      <c r="S84" s="256"/>
      <c r="T84" s="344"/>
      <c r="U84" s="344"/>
      <c r="V84" s="344"/>
      <c r="W84" s="344"/>
      <c r="X84" s="344"/>
      <c r="Y84" s="360"/>
    </row>
    <row r="85" spans="1:25" s="239" customFormat="1" ht="13.8">
      <c r="A85" s="367" t="s">
        <v>959</v>
      </c>
      <c r="B85" s="285" t="s">
        <v>1292</v>
      </c>
      <c r="C85" s="286">
        <f>G85*I85</f>
        <v>235.35</v>
      </c>
      <c r="D85" s="287"/>
      <c r="E85" s="287"/>
      <c r="F85" s="282">
        <f t="shared" si="17"/>
        <v>235.35</v>
      </c>
      <c r="G85" s="288">
        <f>G82</f>
        <v>39225</v>
      </c>
      <c r="H85" s="289" t="s">
        <v>1279</v>
      </c>
      <c r="I85" s="326">
        <v>6.0000000000000001E-3</v>
      </c>
      <c r="J85" s="327"/>
      <c r="K85" s="328"/>
      <c r="L85" s="329">
        <v>1.81816902522925E-4</v>
      </c>
      <c r="M85" s="308">
        <f t="shared" ca="1" si="18"/>
        <v>5.1176130075119501E-4</v>
      </c>
      <c r="N85" s="325"/>
      <c r="O85" s="325"/>
      <c r="P85" s="325"/>
      <c r="Q85" s="309"/>
      <c r="R85" s="345"/>
      <c r="S85" s="256"/>
      <c r="T85" s="344"/>
      <c r="U85" s="344"/>
      <c r="V85" s="344"/>
      <c r="W85" s="344"/>
      <c r="X85" s="344"/>
      <c r="Y85" s="360"/>
    </row>
    <row r="86" spans="1:25" s="239" customFormat="1" ht="13.8">
      <c r="A86" s="284" t="s">
        <v>960</v>
      </c>
      <c r="B86" s="285" t="s">
        <v>1293</v>
      </c>
      <c r="C86" s="286">
        <f>G86*I86</f>
        <v>78.45</v>
      </c>
      <c r="D86" s="287"/>
      <c r="E86" s="287"/>
      <c r="F86" s="282">
        <f t="shared" si="17"/>
        <v>78.45</v>
      </c>
      <c r="G86" s="288">
        <f>G85</f>
        <v>39225</v>
      </c>
      <c r="H86" s="289" t="s">
        <v>1279</v>
      </c>
      <c r="I86" s="326">
        <v>2E-3</v>
      </c>
      <c r="J86" s="327"/>
      <c r="K86" s="328"/>
      <c r="L86" s="329">
        <v>6.0605634174308201E-5</v>
      </c>
      <c r="M86" s="308">
        <f t="shared" ca="1" si="18"/>
        <v>1.70587100250398E-4</v>
      </c>
      <c r="N86" s="325"/>
      <c r="O86" s="325"/>
      <c r="P86" s="325"/>
      <c r="Q86" s="309"/>
      <c r="R86" s="345"/>
      <c r="S86" s="256"/>
      <c r="T86" s="344"/>
      <c r="U86" s="344"/>
      <c r="V86" s="344"/>
      <c r="W86" s="344"/>
      <c r="X86" s="344"/>
      <c r="Y86" s="360"/>
    </row>
    <row r="87" spans="1:25" s="244" customFormat="1" ht="13.8">
      <c r="A87" s="297">
        <v>2.2000000000000002</v>
      </c>
      <c r="B87" s="274" t="s">
        <v>1309</v>
      </c>
      <c r="C87" s="275">
        <f>SUM(C88:C99)</f>
        <v>11697.916000000001</v>
      </c>
      <c r="D87" s="275">
        <f>SUM(D88:D99)</f>
        <v>274.21199999999999</v>
      </c>
      <c r="E87" s="275">
        <f>SUM(E88:E99)</f>
        <v>0</v>
      </c>
      <c r="F87" s="276">
        <f t="shared" si="17"/>
        <v>11972.128000000001</v>
      </c>
      <c r="G87" s="277">
        <v>20936</v>
      </c>
      <c r="H87" s="278" t="s">
        <v>1279</v>
      </c>
      <c r="I87" s="318">
        <f>F87/G87</f>
        <v>0.57184409629346578</v>
      </c>
      <c r="J87" s="333"/>
      <c r="K87" s="334"/>
      <c r="L87" s="335"/>
      <c r="M87" s="322">
        <f t="shared" ca="1" si="18"/>
        <v>2.5828161216798099E-2</v>
      </c>
      <c r="N87" s="323"/>
      <c r="O87" s="323"/>
      <c r="P87" s="323"/>
      <c r="Q87" s="352"/>
      <c r="R87" s="353"/>
      <c r="S87" s="356" t="s">
        <v>1310</v>
      </c>
      <c r="T87" s="357">
        <f>6*(G34+G47)</f>
        <v>272388</v>
      </c>
      <c r="U87" s="357"/>
      <c r="V87" s="357"/>
      <c r="W87" s="357"/>
      <c r="X87" s="357"/>
      <c r="Y87" s="365"/>
    </row>
    <row r="88" spans="1:25" s="238" customFormat="1" ht="13.8">
      <c r="A88" s="367" t="s">
        <v>963</v>
      </c>
      <c r="B88" s="280" t="str">
        <f>B75</f>
        <v>场平</v>
      </c>
      <c r="C88" s="281">
        <f>G88*I88</f>
        <v>497.15600000000001</v>
      </c>
      <c r="D88" s="281"/>
      <c r="E88" s="281"/>
      <c r="F88" s="282">
        <f t="shared" si="17"/>
        <v>497.15600000000001</v>
      </c>
      <c r="G88" s="283">
        <v>24857.8</v>
      </c>
      <c r="H88" s="260" t="str">
        <f>H87</f>
        <v>㎡</v>
      </c>
      <c r="I88" s="324">
        <f>I75</f>
        <v>0.02</v>
      </c>
      <c r="J88" s="331"/>
      <c r="K88" s="336"/>
      <c r="L88" s="332"/>
      <c r="M88" s="308">
        <f t="shared" ca="1" si="18"/>
        <v>1.08105035579461E-3</v>
      </c>
      <c r="N88" s="325"/>
      <c r="O88" s="325"/>
      <c r="P88" s="325"/>
      <c r="Q88" s="309"/>
      <c r="R88" s="345"/>
      <c r="S88" s="343"/>
      <c r="T88" s="341"/>
      <c r="U88" s="341"/>
      <c r="V88" s="341"/>
      <c r="W88" s="341"/>
      <c r="X88" s="341"/>
      <c r="Y88" s="364"/>
    </row>
    <row r="89" spans="1:25" s="239" customFormat="1" ht="13.8">
      <c r="A89" s="284" t="s">
        <v>964</v>
      </c>
      <c r="B89" s="285" t="s">
        <v>1281</v>
      </c>
      <c r="C89" s="286">
        <f>G89*I89</f>
        <v>104.68</v>
      </c>
      <c r="D89" s="287"/>
      <c r="E89" s="287"/>
      <c r="F89" s="282">
        <f t="shared" ref="F89:F114" si="21">SUM(C89:E89)</f>
        <v>104.68</v>
      </c>
      <c r="G89" s="288">
        <f>G87</f>
        <v>20936</v>
      </c>
      <c r="H89" s="289" t="s">
        <v>1279</v>
      </c>
      <c r="I89" s="326">
        <v>5.0000000000000001E-3</v>
      </c>
      <c r="J89" s="327"/>
      <c r="K89" s="328"/>
      <c r="L89" s="329">
        <v>1.5151408543577E-4</v>
      </c>
      <c r="M89" s="308">
        <f t="shared" ca="1" si="18"/>
        <v>2.2762342452787399E-4</v>
      </c>
      <c r="N89" s="325"/>
      <c r="O89" s="325"/>
      <c r="P89" s="325"/>
      <c r="Q89" s="309"/>
      <c r="R89" s="345"/>
      <c r="S89" s="256"/>
      <c r="T89" s="344"/>
      <c r="U89" s="344"/>
      <c r="V89" s="344"/>
      <c r="W89" s="344"/>
      <c r="X89" s="344"/>
      <c r="Y89" s="360"/>
    </row>
    <row r="90" spans="1:25" s="239" customFormat="1" ht="13.8">
      <c r="A90" s="284" t="s">
        <v>965</v>
      </c>
      <c r="B90" s="285" t="s">
        <v>1282</v>
      </c>
      <c r="C90" s="286">
        <f t="shared" ref="C90:C95" si="22">G90*I90</f>
        <v>146.55199999999999</v>
      </c>
      <c r="D90" s="287"/>
      <c r="E90" s="287"/>
      <c r="F90" s="282">
        <f t="shared" si="21"/>
        <v>146.55199999999999</v>
      </c>
      <c r="G90" s="288">
        <f t="shared" ref="G90:G95" si="23">G89</f>
        <v>20936</v>
      </c>
      <c r="H90" s="289" t="s">
        <v>1279</v>
      </c>
      <c r="I90" s="326">
        <v>7.0000000000000001E-3</v>
      </c>
      <c r="J90" s="327"/>
      <c r="K90" s="328"/>
      <c r="L90" s="329">
        <v>1.81816902522925E-4</v>
      </c>
      <c r="M90" s="308">
        <f t="shared" ca="1" si="18"/>
        <v>3.1867279433902299E-4</v>
      </c>
      <c r="N90" s="325"/>
      <c r="O90" s="325"/>
      <c r="P90" s="325"/>
      <c r="Q90" s="309"/>
      <c r="R90" s="345"/>
      <c r="S90" s="256"/>
      <c r="T90" s="344"/>
      <c r="U90" s="344"/>
      <c r="V90" s="344"/>
      <c r="W90" s="344"/>
      <c r="X90" s="344"/>
      <c r="Y90" s="360"/>
    </row>
    <row r="91" spans="1:25" s="239" customFormat="1" ht="13.8">
      <c r="A91" s="367" t="s">
        <v>966</v>
      </c>
      <c r="B91" s="285" t="s">
        <v>1283</v>
      </c>
      <c r="C91" s="286">
        <f t="shared" si="22"/>
        <v>5443.3600000000006</v>
      </c>
      <c r="D91" s="287"/>
      <c r="E91" s="287"/>
      <c r="F91" s="282">
        <f t="shared" si="21"/>
        <v>5443.3600000000006</v>
      </c>
      <c r="G91" s="288">
        <f t="shared" si="23"/>
        <v>20936</v>
      </c>
      <c r="H91" s="289" t="s">
        <v>1279</v>
      </c>
      <c r="I91" s="326">
        <v>0.26</v>
      </c>
      <c r="J91" s="327"/>
      <c r="K91" s="328"/>
      <c r="L91" s="329">
        <v>7.5757042717885196E-3</v>
      </c>
      <c r="M91" s="308">
        <f t="shared" ca="1" si="18"/>
        <v>1.18364180754494E-2</v>
      </c>
      <c r="N91" s="325"/>
      <c r="O91" s="325"/>
      <c r="P91" s="325"/>
      <c r="Q91" s="309"/>
      <c r="R91" s="345"/>
      <c r="S91" s="256"/>
      <c r="T91" s="344"/>
      <c r="U91" s="344"/>
      <c r="V91" s="344"/>
      <c r="W91" s="344"/>
      <c r="X91" s="344"/>
      <c r="Y91" s="360"/>
    </row>
    <row r="92" spans="1:25" s="239" customFormat="1" ht="13.8">
      <c r="A92" s="284" t="s">
        <v>967</v>
      </c>
      <c r="B92" s="285" t="s">
        <v>1284</v>
      </c>
      <c r="C92" s="286">
        <f t="shared" si="22"/>
        <v>2931.0400000000004</v>
      </c>
      <c r="D92" s="287"/>
      <c r="E92" s="287"/>
      <c r="F92" s="282">
        <f t="shared" si="21"/>
        <v>2931.0400000000004</v>
      </c>
      <c r="G92" s="288">
        <f t="shared" si="23"/>
        <v>20936</v>
      </c>
      <c r="H92" s="289" t="s">
        <v>1279</v>
      </c>
      <c r="I92" s="326">
        <v>0.14000000000000001</v>
      </c>
      <c r="J92" s="327"/>
      <c r="K92" s="328"/>
      <c r="L92" s="329">
        <v>4.5454225630731102E-3</v>
      </c>
      <c r="M92" s="308">
        <f t="shared" ca="1" si="18"/>
        <v>6.3734558867804703E-3</v>
      </c>
      <c r="N92" s="325"/>
      <c r="O92" s="325"/>
      <c r="P92" s="325"/>
      <c r="Q92" s="309"/>
      <c r="R92" s="345"/>
      <c r="S92" s="256"/>
      <c r="T92" s="344"/>
      <c r="U92" s="344"/>
      <c r="V92" s="344"/>
      <c r="W92" s="344"/>
      <c r="X92" s="344"/>
      <c r="Y92" s="360"/>
    </row>
    <row r="93" spans="1:25" s="239" customFormat="1" ht="13.8">
      <c r="A93" s="284" t="s">
        <v>968</v>
      </c>
      <c r="B93" s="285" t="s">
        <v>1285</v>
      </c>
      <c r="C93" s="286">
        <f t="shared" si="22"/>
        <v>314.03999999999996</v>
      </c>
      <c r="D93" s="287"/>
      <c r="E93" s="287"/>
      <c r="F93" s="282">
        <f t="shared" si="21"/>
        <v>314.03999999999996</v>
      </c>
      <c r="G93" s="288">
        <f t="shared" si="23"/>
        <v>20936</v>
      </c>
      <c r="H93" s="289" t="s">
        <v>1279</v>
      </c>
      <c r="I93" s="326">
        <v>1.4999999999999999E-2</v>
      </c>
      <c r="J93" s="327"/>
      <c r="K93" s="328"/>
      <c r="L93" s="329">
        <v>4.5454225630731099E-4</v>
      </c>
      <c r="M93" s="308">
        <f t="shared" ca="1" si="18"/>
        <v>6.8287027358362095E-4</v>
      </c>
      <c r="N93" s="325"/>
      <c r="O93" s="325"/>
      <c r="P93" s="325"/>
      <c r="Q93" s="309"/>
      <c r="R93" s="345"/>
      <c r="S93" s="256"/>
      <c r="T93" s="344"/>
      <c r="U93" s="344"/>
      <c r="V93" s="344"/>
      <c r="W93" s="344"/>
      <c r="X93" s="344"/>
      <c r="Y93" s="360"/>
    </row>
    <row r="94" spans="1:25" s="239" customFormat="1" ht="13.8">
      <c r="A94" s="367" t="s">
        <v>969</v>
      </c>
      <c r="B94" s="285" t="s">
        <v>1286</v>
      </c>
      <c r="C94" s="286">
        <f t="shared" si="22"/>
        <v>628.07999999999993</v>
      </c>
      <c r="D94" s="287"/>
      <c r="E94" s="287"/>
      <c r="F94" s="282">
        <f t="shared" si="21"/>
        <v>628.07999999999993</v>
      </c>
      <c r="G94" s="288">
        <f t="shared" si="23"/>
        <v>20936</v>
      </c>
      <c r="H94" s="289" t="s">
        <v>1279</v>
      </c>
      <c r="I94" s="326">
        <v>0.03</v>
      </c>
      <c r="J94" s="327"/>
      <c r="K94" s="328"/>
      <c r="L94" s="329">
        <v>1.21211268348616E-3</v>
      </c>
      <c r="M94" s="308">
        <f t="shared" ca="1" si="18"/>
        <v>1.36574054716724E-3</v>
      </c>
      <c r="N94" s="325"/>
      <c r="O94" s="325"/>
      <c r="P94" s="325"/>
      <c r="Q94" s="309"/>
      <c r="R94" s="345"/>
      <c r="S94" s="256"/>
      <c r="T94" s="344"/>
      <c r="U94" s="344"/>
      <c r="V94" s="344"/>
      <c r="W94" s="344"/>
      <c r="X94" s="344"/>
      <c r="Y94" s="360"/>
    </row>
    <row r="95" spans="1:25" s="239" customFormat="1" ht="13.8">
      <c r="A95" s="284" t="s">
        <v>970</v>
      </c>
      <c r="B95" s="285" t="s">
        <v>1287</v>
      </c>
      <c r="C95" s="286">
        <f t="shared" si="22"/>
        <v>1465.5200000000002</v>
      </c>
      <c r="D95" s="287"/>
      <c r="E95" s="287"/>
      <c r="F95" s="282">
        <f t="shared" si="21"/>
        <v>1465.5200000000002</v>
      </c>
      <c r="G95" s="288">
        <f t="shared" si="23"/>
        <v>20936</v>
      </c>
      <c r="H95" s="289" t="s">
        <v>1279</v>
      </c>
      <c r="I95" s="326">
        <v>7.0000000000000007E-2</v>
      </c>
      <c r="J95" s="327"/>
      <c r="K95" s="328"/>
      <c r="L95" s="329">
        <v>1.81816902522925E-3</v>
      </c>
      <c r="M95" s="308">
        <f t="shared" ca="1" si="18"/>
        <v>3.18672794339023E-3</v>
      </c>
      <c r="N95" s="325"/>
      <c r="O95" s="325"/>
      <c r="P95" s="325"/>
      <c r="Q95" s="309"/>
      <c r="R95" s="345"/>
      <c r="S95" s="256"/>
      <c r="T95" s="344"/>
      <c r="U95" s="344"/>
      <c r="V95" s="344"/>
      <c r="W95" s="344"/>
      <c r="X95" s="344"/>
      <c r="Y95" s="360"/>
    </row>
    <row r="96" spans="1:25" s="243" customFormat="1" ht="13.8">
      <c r="A96" s="290" t="s">
        <v>1311</v>
      </c>
      <c r="B96" s="291" t="s">
        <v>1289</v>
      </c>
      <c r="C96" s="293"/>
      <c r="D96" s="292">
        <f>G96*I96</f>
        <v>94.211999999999989</v>
      </c>
      <c r="E96" s="293"/>
      <c r="F96" s="292">
        <f t="shared" si="21"/>
        <v>94.211999999999989</v>
      </c>
      <c r="G96" s="294">
        <v>20936</v>
      </c>
      <c r="H96" s="289" t="s">
        <v>1279</v>
      </c>
      <c r="I96" s="326">
        <v>4.4999999999999997E-3</v>
      </c>
      <c r="J96" s="302"/>
      <c r="K96" s="331"/>
      <c r="L96" s="332"/>
      <c r="M96" s="308">
        <f t="shared" ca="1" si="18"/>
        <v>2.0486108207508599E-4</v>
      </c>
      <c r="N96" s="325"/>
      <c r="O96" s="325"/>
      <c r="P96" s="325"/>
      <c r="Q96" s="325"/>
      <c r="R96" s="345"/>
      <c r="S96" s="343"/>
      <c r="T96" s="341"/>
      <c r="U96" s="341"/>
      <c r="V96" s="341"/>
      <c r="W96" s="341"/>
      <c r="X96" s="341"/>
      <c r="Y96" s="364"/>
    </row>
    <row r="97" spans="1:25" s="239" customFormat="1" ht="13.8">
      <c r="A97" s="284" t="s">
        <v>971</v>
      </c>
      <c r="B97" s="285" t="s">
        <v>1290</v>
      </c>
      <c r="C97" s="286"/>
      <c r="D97" s="287">
        <f>G97*I97</f>
        <v>180</v>
      </c>
      <c r="E97" s="287"/>
      <c r="F97" s="282">
        <f t="shared" si="21"/>
        <v>180</v>
      </c>
      <c r="G97" s="288">
        <v>4</v>
      </c>
      <c r="H97" s="289" t="s">
        <v>1291</v>
      </c>
      <c r="I97" s="326">
        <v>45</v>
      </c>
      <c r="J97" s="327"/>
      <c r="K97" s="328"/>
      <c r="L97" s="329">
        <v>1.4004588363170699E-4</v>
      </c>
      <c r="M97" s="308">
        <f t="shared" ca="1" si="18"/>
        <v>3.9140443652099002E-4</v>
      </c>
      <c r="N97" s="325"/>
      <c r="O97" s="325"/>
      <c r="P97" s="325"/>
      <c r="Q97" s="309"/>
      <c r="R97" s="345"/>
      <c r="S97" s="256"/>
      <c r="T97" s="344"/>
      <c r="U97" s="344"/>
      <c r="V97" s="344"/>
      <c r="W97" s="344"/>
      <c r="X97" s="344"/>
      <c r="Y97" s="360"/>
    </row>
    <row r="98" spans="1:25" s="239" customFormat="1" ht="13.8">
      <c r="A98" s="367" t="s">
        <v>972</v>
      </c>
      <c r="B98" s="285" t="s">
        <v>1292</v>
      </c>
      <c r="C98" s="286">
        <f>G98*I98</f>
        <v>125.616</v>
      </c>
      <c r="D98" s="287"/>
      <c r="E98" s="287"/>
      <c r="F98" s="282">
        <f t="shared" si="21"/>
        <v>125.616</v>
      </c>
      <c r="G98" s="288">
        <f>G95</f>
        <v>20936</v>
      </c>
      <c r="H98" s="289" t="s">
        <v>1279</v>
      </c>
      <c r="I98" s="326">
        <v>6.0000000000000001E-3</v>
      </c>
      <c r="J98" s="327"/>
      <c r="K98" s="328"/>
      <c r="L98" s="329">
        <v>1.81816902522925E-4</v>
      </c>
      <c r="M98" s="308">
        <f t="shared" ca="1" si="18"/>
        <v>2.73148109433448E-4</v>
      </c>
      <c r="N98" s="325"/>
      <c r="O98" s="325"/>
      <c r="P98" s="325"/>
      <c r="Q98" s="309"/>
      <c r="R98" s="345"/>
      <c r="S98" s="256"/>
      <c r="T98" s="344"/>
      <c r="U98" s="344"/>
      <c r="V98" s="344"/>
      <c r="W98" s="344"/>
      <c r="X98" s="344"/>
      <c r="Y98" s="360"/>
    </row>
    <row r="99" spans="1:25" s="239" customFormat="1" ht="13.8">
      <c r="A99" s="284" t="s">
        <v>973</v>
      </c>
      <c r="B99" s="285" t="s">
        <v>1293</v>
      </c>
      <c r="C99" s="286">
        <f>G99*I99</f>
        <v>41.872</v>
      </c>
      <c r="D99" s="287"/>
      <c r="E99" s="287"/>
      <c r="F99" s="282">
        <f t="shared" si="21"/>
        <v>41.872</v>
      </c>
      <c r="G99" s="288">
        <f>G98</f>
        <v>20936</v>
      </c>
      <c r="H99" s="289" t="s">
        <v>1279</v>
      </c>
      <c r="I99" s="326">
        <v>2E-3</v>
      </c>
      <c r="J99" s="327"/>
      <c r="K99" s="328"/>
      <c r="L99" s="329">
        <v>6.0605634174308201E-5</v>
      </c>
      <c r="M99" s="308">
        <f t="shared" ca="1" si="18"/>
        <v>9.1049369811149506E-5</v>
      </c>
      <c r="N99" s="325"/>
      <c r="O99" s="325"/>
      <c r="P99" s="325"/>
      <c r="Q99" s="309"/>
      <c r="R99" s="345"/>
      <c r="S99" s="256"/>
      <c r="T99" s="344"/>
      <c r="U99" s="344"/>
      <c r="V99" s="344"/>
      <c r="W99" s="344"/>
      <c r="X99" s="344"/>
      <c r="Y99" s="360"/>
    </row>
    <row r="100" spans="1:25" s="244" customFormat="1" ht="13.8">
      <c r="A100" s="368" t="s">
        <v>1312</v>
      </c>
      <c r="B100" s="369" t="s">
        <v>1313</v>
      </c>
      <c r="C100" s="370">
        <f>SUM(C101:C112)</f>
        <v>2821.5</v>
      </c>
      <c r="D100" s="370">
        <f>SUM(D101:D112)</f>
        <v>20.25</v>
      </c>
      <c r="E100" s="370">
        <f>SUM(E101:E112)</f>
        <v>0</v>
      </c>
      <c r="F100" s="371">
        <f t="shared" si="21"/>
        <v>2841.75</v>
      </c>
      <c r="G100" s="372">
        <v>4500</v>
      </c>
      <c r="H100" s="373" t="s">
        <v>1279</v>
      </c>
      <c r="I100" s="393">
        <f>F100/G100</f>
        <v>0.63149999999999995</v>
      </c>
      <c r="J100" s="394"/>
      <c r="K100" s="395"/>
      <c r="L100" s="396"/>
      <c r="M100" s="397">
        <f t="shared" ca="1" si="18"/>
        <v>6.1352645424665201E-3</v>
      </c>
      <c r="N100" s="323"/>
      <c r="O100" s="323"/>
      <c r="P100" s="323"/>
      <c r="Q100" s="352"/>
      <c r="R100" s="353"/>
      <c r="S100" s="356" t="s">
        <v>1310</v>
      </c>
      <c r="T100" s="357">
        <f>T87*1000/5/10000</f>
        <v>5447.76</v>
      </c>
      <c r="U100" s="357" t="s">
        <v>1314</v>
      </c>
      <c r="V100" s="357"/>
      <c r="W100" s="357"/>
      <c r="X100" s="357"/>
      <c r="Y100" s="365"/>
    </row>
    <row r="101" spans="1:25" s="238" customFormat="1" ht="13.8">
      <c r="A101" s="374" t="s">
        <v>975</v>
      </c>
      <c r="B101" s="375" t="str">
        <f>B88</f>
        <v>场平</v>
      </c>
      <c r="C101" s="376">
        <f>G101*I101</f>
        <v>99</v>
      </c>
      <c r="D101" s="376"/>
      <c r="E101" s="376"/>
      <c r="F101" s="377">
        <f t="shared" si="21"/>
        <v>99</v>
      </c>
      <c r="G101" s="378">
        <v>4950</v>
      </c>
      <c r="H101" s="379" t="s">
        <v>1279</v>
      </c>
      <c r="I101" s="398">
        <f>I88</f>
        <v>0.02</v>
      </c>
      <c r="J101" s="399"/>
      <c r="K101" s="400"/>
      <c r="L101" s="401"/>
      <c r="M101" s="402">
        <f t="shared" ca="1" si="18"/>
        <v>2.15272440086545E-4</v>
      </c>
      <c r="N101" s="325"/>
      <c r="O101" s="325"/>
      <c r="P101" s="325"/>
      <c r="Q101" s="309"/>
      <c r="R101" s="345"/>
      <c r="S101" s="343"/>
      <c r="T101" s="341"/>
      <c r="U101" s="341"/>
      <c r="V101" s="341"/>
      <c r="W101" s="341"/>
      <c r="X101" s="341"/>
      <c r="Y101" s="364"/>
    </row>
    <row r="102" spans="1:25" s="239" customFormat="1" ht="13.8">
      <c r="A102" s="284" t="s">
        <v>976</v>
      </c>
      <c r="B102" s="285" t="s">
        <v>1281</v>
      </c>
      <c r="C102" s="286">
        <f>G102*I102</f>
        <v>22.5</v>
      </c>
      <c r="D102" s="287"/>
      <c r="E102" s="287"/>
      <c r="F102" s="282">
        <f t="shared" si="21"/>
        <v>22.5</v>
      </c>
      <c r="G102" s="288">
        <f>G100</f>
        <v>4500</v>
      </c>
      <c r="H102" s="289" t="s">
        <v>1279</v>
      </c>
      <c r="I102" s="326">
        <v>5.0000000000000001E-3</v>
      </c>
      <c r="J102" s="327"/>
      <c r="K102" s="328"/>
      <c r="L102" s="329">
        <v>1.5151408543577E-4</v>
      </c>
      <c r="M102" s="308">
        <f t="shared" ca="1" si="18"/>
        <v>4.89255545651238E-5</v>
      </c>
      <c r="N102" s="325"/>
      <c r="O102" s="325"/>
      <c r="P102" s="325"/>
      <c r="Q102" s="309"/>
      <c r="R102" s="345"/>
      <c r="S102" s="256"/>
      <c r="T102" s="344"/>
      <c r="U102" s="344"/>
      <c r="V102" s="344"/>
      <c r="W102" s="344"/>
      <c r="X102" s="344"/>
      <c r="Y102" s="360"/>
    </row>
    <row r="103" spans="1:25" s="239" customFormat="1" ht="13.8">
      <c r="A103" s="284" t="s">
        <v>977</v>
      </c>
      <c r="B103" s="285" t="s">
        <v>1282</v>
      </c>
      <c r="C103" s="286">
        <f t="shared" ref="C103:C108" si="24">G103*I103</f>
        <v>31.5</v>
      </c>
      <c r="D103" s="287"/>
      <c r="E103" s="287"/>
      <c r="F103" s="282">
        <f t="shared" si="21"/>
        <v>31.5</v>
      </c>
      <c r="G103" s="288">
        <f t="shared" ref="G103:G108" si="25">G102</f>
        <v>4500</v>
      </c>
      <c r="H103" s="289" t="s">
        <v>1279</v>
      </c>
      <c r="I103" s="326">
        <v>7.0000000000000001E-3</v>
      </c>
      <c r="J103" s="327"/>
      <c r="K103" s="328"/>
      <c r="L103" s="329">
        <v>1.81816902522925E-4</v>
      </c>
      <c r="M103" s="308">
        <f t="shared" ca="1" si="18"/>
        <v>6.8495776391173303E-5</v>
      </c>
      <c r="N103" s="325"/>
      <c r="O103" s="325"/>
      <c r="P103" s="325"/>
      <c r="Q103" s="309"/>
      <c r="R103" s="345"/>
      <c r="S103" s="256"/>
      <c r="T103" s="344"/>
      <c r="U103" s="344"/>
      <c r="V103" s="344"/>
      <c r="W103" s="344"/>
      <c r="X103" s="344"/>
      <c r="Y103" s="360"/>
    </row>
    <row r="104" spans="1:25" s="239" customFormat="1" ht="13.8">
      <c r="A104" s="374" t="s">
        <v>978</v>
      </c>
      <c r="B104" s="285" t="s">
        <v>1283</v>
      </c>
      <c r="C104" s="286">
        <f t="shared" si="24"/>
        <v>1170</v>
      </c>
      <c r="D104" s="287"/>
      <c r="E104" s="287"/>
      <c r="F104" s="282">
        <f t="shared" si="21"/>
        <v>1170</v>
      </c>
      <c r="G104" s="288">
        <f t="shared" si="25"/>
        <v>4500</v>
      </c>
      <c r="H104" s="289" t="s">
        <v>1279</v>
      </c>
      <c r="I104" s="326">
        <v>0.26</v>
      </c>
      <c r="J104" s="327"/>
      <c r="K104" s="328"/>
      <c r="L104" s="329">
        <v>7.5757042717885196E-3</v>
      </c>
      <c r="M104" s="308">
        <f t="shared" ref="M104:M135" ca="1" si="26">F104/$F$378*100%</f>
        <v>2.5441288373864398E-3</v>
      </c>
      <c r="N104" s="325"/>
      <c r="O104" s="325"/>
      <c r="P104" s="325"/>
      <c r="Q104" s="309"/>
      <c r="R104" s="345"/>
      <c r="S104" s="256"/>
      <c r="T104" s="344"/>
      <c r="U104" s="344"/>
      <c r="V104" s="344"/>
      <c r="W104" s="344"/>
      <c r="X104" s="344"/>
      <c r="Y104" s="360"/>
    </row>
    <row r="105" spans="1:25" s="239" customFormat="1" ht="13.8">
      <c r="A105" s="284" t="s">
        <v>979</v>
      </c>
      <c r="B105" s="285" t="s">
        <v>1284</v>
      </c>
      <c r="C105" s="286">
        <f t="shared" si="24"/>
        <v>810</v>
      </c>
      <c r="D105" s="287"/>
      <c r="E105" s="287"/>
      <c r="F105" s="282">
        <f t="shared" si="21"/>
        <v>810</v>
      </c>
      <c r="G105" s="288">
        <f t="shared" si="25"/>
        <v>4500</v>
      </c>
      <c r="H105" s="289" t="s">
        <v>1279</v>
      </c>
      <c r="I105" s="326">
        <v>0.18</v>
      </c>
      <c r="J105" s="327"/>
      <c r="K105" s="328"/>
      <c r="L105" s="329">
        <v>4.5454225630731102E-3</v>
      </c>
      <c r="M105" s="308">
        <f t="shared" ca="1" si="26"/>
        <v>1.7613199643444601E-3</v>
      </c>
      <c r="N105" s="325"/>
      <c r="O105" s="325"/>
      <c r="P105" s="325"/>
      <c r="Q105" s="309"/>
      <c r="R105" s="345"/>
      <c r="S105" s="256"/>
      <c r="T105" s="344"/>
      <c r="U105" s="344"/>
      <c r="V105" s="344"/>
      <c r="W105" s="344"/>
      <c r="X105" s="344"/>
      <c r="Y105" s="360"/>
    </row>
    <row r="106" spans="1:25" s="239" customFormat="1" ht="13.8">
      <c r="A106" s="284" t="s">
        <v>980</v>
      </c>
      <c r="B106" s="285" t="s">
        <v>1285</v>
      </c>
      <c r="C106" s="286">
        <f t="shared" si="24"/>
        <v>67.5</v>
      </c>
      <c r="D106" s="287"/>
      <c r="E106" s="287"/>
      <c r="F106" s="282">
        <f t="shared" si="21"/>
        <v>67.5</v>
      </c>
      <c r="G106" s="288">
        <f t="shared" si="25"/>
        <v>4500</v>
      </c>
      <c r="H106" s="289" t="s">
        <v>1279</v>
      </c>
      <c r="I106" s="326">
        <v>1.4999999999999999E-2</v>
      </c>
      <c r="J106" s="327"/>
      <c r="K106" s="328"/>
      <c r="L106" s="329">
        <v>4.5454225630731099E-4</v>
      </c>
      <c r="M106" s="308">
        <f t="shared" ca="1" si="26"/>
        <v>1.4677666369537101E-4</v>
      </c>
      <c r="N106" s="325"/>
      <c r="O106" s="325"/>
      <c r="P106" s="325"/>
      <c r="Q106" s="309"/>
      <c r="R106" s="345"/>
      <c r="S106" s="256"/>
      <c r="T106" s="344"/>
      <c r="U106" s="344"/>
      <c r="V106" s="344"/>
      <c r="W106" s="344"/>
      <c r="X106" s="344"/>
      <c r="Y106" s="360"/>
    </row>
    <row r="107" spans="1:25" s="239" customFormat="1" ht="13.8">
      <c r="A107" s="374" t="s">
        <v>981</v>
      </c>
      <c r="B107" s="285" t="s">
        <v>1286</v>
      </c>
      <c r="C107" s="286">
        <f t="shared" si="24"/>
        <v>225</v>
      </c>
      <c r="D107" s="287"/>
      <c r="E107" s="287"/>
      <c r="F107" s="282">
        <f t="shared" si="21"/>
        <v>225</v>
      </c>
      <c r="G107" s="288">
        <f t="shared" si="25"/>
        <v>4500</v>
      </c>
      <c r="H107" s="289" t="s">
        <v>1279</v>
      </c>
      <c r="I107" s="326">
        <v>0.05</v>
      </c>
      <c r="J107" s="327"/>
      <c r="K107" s="328"/>
      <c r="L107" s="329">
        <v>1.21211268348616E-3</v>
      </c>
      <c r="M107" s="308">
        <f t="shared" ca="1" si="26"/>
        <v>4.8925554565123802E-4</v>
      </c>
      <c r="N107" s="325"/>
      <c r="O107" s="325"/>
      <c r="P107" s="325"/>
      <c r="Q107" s="309"/>
      <c r="R107" s="345"/>
      <c r="S107" s="256"/>
      <c r="T107" s="344"/>
      <c r="U107" s="344"/>
      <c r="V107" s="344"/>
      <c r="W107" s="344"/>
      <c r="X107" s="344"/>
      <c r="Y107" s="360"/>
    </row>
    <row r="108" spans="1:25" s="239" customFormat="1" ht="13.8">
      <c r="A108" s="284" t="s">
        <v>982</v>
      </c>
      <c r="B108" s="285" t="s">
        <v>1287</v>
      </c>
      <c r="C108" s="286">
        <f t="shared" si="24"/>
        <v>360</v>
      </c>
      <c r="D108" s="287"/>
      <c r="E108" s="287"/>
      <c r="F108" s="282">
        <f t="shared" si="21"/>
        <v>360</v>
      </c>
      <c r="G108" s="288">
        <f t="shared" si="25"/>
        <v>4500</v>
      </c>
      <c r="H108" s="289" t="s">
        <v>1279</v>
      </c>
      <c r="I108" s="326">
        <v>0.08</v>
      </c>
      <c r="J108" s="327"/>
      <c r="K108" s="328"/>
      <c r="L108" s="329">
        <v>1.81816902522925E-3</v>
      </c>
      <c r="M108" s="308">
        <f t="shared" ca="1" si="26"/>
        <v>7.8280887304198101E-4</v>
      </c>
      <c r="N108" s="325"/>
      <c r="O108" s="325"/>
      <c r="P108" s="325"/>
      <c r="Q108" s="309"/>
      <c r="R108" s="345"/>
      <c r="S108" s="256"/>
      <c r="T108" s="344"/>
      <c r="U108" s="344"/>
      <c r="V108" s="344"/>
      <c r="W108" s="344"/>
      <c r="X108" s="344"/>
      <c r="Y108" s="360"/>
    </row>
    <row r="109" spans="1:25" s="243" customFormat="1" ht="13.8">
      <c r="A109" s="290" t="s">
        <v>1315</v>
      </c>
      <c r="B109" s="291" t="s">
        <v>1289</v>
      </c>
      <c r="C109" s="293"/>
      <c r="D109" s="292">
        <f>G109*I109</f>
        <v>20.25</v>
      </c>
      <c r="E109" s="293"/>
      <c r="F109" s="292">
        <f t="shared" si="21"/>
        <v>20.25</v>
      </c>
      <c r="G109" s="294">
        <v>4500</v>
      </c>
      <c r="H109" s="289" t="s">
        <v>1279</v>
      </c>
      <c r="I109" s="326">
        <v>4.4999999999999997E-3</v>
      </c>
      <c r="J109" s="302"/>
      <c r="K109" s="331"/>
      <c r="L109" s="332"/>
      <c r="M109" s="308">
        <f t="shared" ca="1" si="26"/>
        <v>4.4032999108611397E-5</v>
      </c>
      <c r="N109" s="325"/>
      <c r="O109" s="325"/>
      <c r="P109" s="325"/>
      <c r="Q109" s="325"/>
      <c r="R109" s="345"/>
      <c r="S109" s="343"/>
      <c r="T109" s="341"/>
      <c r="U109" s="341"/>
      <c r="V109" s="341"/>
      <c r="W109" s="341"/>
      <c r="X109" s="341"/>
      <c r="Y109" s="364"/>
    </row>
    <row r="110" spans="1:25" s="239" customFormat="1" ht="13.8">
      <c r="A110" s="284" t="s">
        <v>983</v>
      </c>
      <c r="B110" s="285" t="s">
        <v>1290</v>
      </c>
      <c r="C110" s="286"/>
      <c r="D110" s="287">
        <f>G110*I110</f>
        <v>0</v>
      </c>
      <c r="E110" s="287"/>
      <c r="F110" s="282">
        <f t="shared" si="21"/>
        <v>0</v>
      </c>
      <c r="G110" s="288">
        <v>0</v>
      </c>
      <c r="H110" s="289" t="s">
        <v>1291</v>
      </c>
      <c r="I110" s="326">
        <v>45</v>
      </c>
      <c r="J110" s="327"/>
      <c r="K110" s="328"/>
      <c r="L110" s="329">
        <v>1.4004588363170699E-4</v>
      </c>
      <c r="M110" s="308">
        <f t="shared" ca="1" si="26"/>
        <v>0</v>
      </c>
      <c r="N110" s="325"/>
      <c r="O110" s="325"/>
      <c r="P110" s="325"/>
      <c r="Q110" s="309"/>
      <c r="R110" s="345"/>
      <c r="S110" s="256"/>
      <c r="T110" s="344"/>
      <c r="U110" s="344"/>
      <c r="V110" s="344"/>
      <c r="W110" s="344"/>
      <c r="X110" s="344"/>
      <c r="Y110" s="360"/>
    </row>
    <row r="111" spans="1:25" s="239" customFormat="1" ht="13.8">
      <c r="A111" s="374" t="s">
        <v>984</v>
      </c>
      <c r="B111" s="285" t="s">
        <v>1292</v>
      </c>
      <c r="C111" s="286">
        <f>G111*I111</f>
        <v>27</v>
      </c>
      <c r="D111" s="287"/>
      <c r="E111" s="287"/>
      <c r="F111" s="282">
        <f t="shared" si="21"/>
        <v>27</v>
      </c>
      <c r="G111" s="288">
        <f>G108</f>
        <v>4500</v>
      </c>
      <c r="H111" s="289" t="s">
        <v>1279</v>
      </c>
      <c r="I111" s="326">
        <v>6.0000000000000001E-3</v>
      </c>
      <c r="J111" s="327"/>
      <c r="K111" s="328"/>
      <c r="L111" s="329">
        <v>1.81816902522925E-4</v>
      </c>
      <c r="M111" s="308">
        <f t="shared" ca="1" si="26"/>
        <v>5.8710665478148599E-5</v>
      </c>
      <c r="N111" s="325"/>
      <c r="O111" s="325"/>
      <c r="P111" s="325"/>
      <c r="Q111" s="309"/>
      <c r="R111" s="345"/>
      <c r="S111" s="256"/>
      <c r="T111" s="344"/>
      <c r="U111" s="344"/>
      <c r="V111" s="344"/>
      <c r="W111" s="344"/>
      <c r="X111" s="344"/>
      <c r="Y111" s="360"/>
    </row>
    <row r="112" spans="1:25" s="239" customFormat="1" ht="13.8">
      <c r="A112" s="284" t="s">
        <v>985</v>
      </c>
      <c r="B112" s="285" t="s">
        <v>1293</v>
      </c>
      <c r="C112" s="286">
        <f>G112*I112</f>
        <v>9</v>
      </c>
      <c r="D112" s="287"/>
      <c r="E112" s="287"/>
      <c r="F112" s="282">
        <f t="shared" si="21"/>
        <v>9</v>
      </c>
      <c r="G112" s="288">
        <f>G111</f>
        <v>4500</v>
      </c>
      <c r="H112" s="289" t="s">
        <v>1279</v>
      </c>
      <c r="I112" s="326">
        <v>2E-3</v>
      </c>
      <c r="J112" s="327"/>
      <c r="K112" s="328"/>
      <c r="L112" s="329">
        <v>6.0605634174308201E-5</v>
      </c>
      <c r="M112" s="308">
        <f t="shared" ca="1" si="26"/>
        <v>1.95702218260495E-5</v>
      </c>
      <c r="N112" s="325"/>
      <c r="O112" s="325"/>
      <c r="P112" s="325"/>
      <c r="Q112" s="309"/>
      <c r="R112" s="345"/>
      <c r="S112" s="256"/>
      <c r="T112" s="344"/>
      <c r="U112" s="344"/>
      <c r="V112" s="344"/>
      <c r="W112" s="344"/>
      <c r="X112" s="344"/>
      <c r="Y112" s="360"/>
    </row>
    <row r="113" spans="1:25" s="244" customFormat="1" ht="13.8">
      <c r="A113" s="380" t="s">
        <v>1316</v>
      </c>
      <c r="B113" s="381" t="s">
        <v>1317</v>
      </c>
      <c r="C113" s="382">
        <f>SUM(C114:C124)</f>
        <v>10032.488000000001</v>
      </c>
      <c r="D113" s="382">
        <f>SUM(D114:D124)</f>
        <v>0</v>
      </c>
      <c r="E113" s="382">
        <f>SUM(E114:E124)</f>
        <v>0</v>
      </c>
      <c r="F113" s="383">
        <f t="shared" si="21"/>
        <v>10032.488000000001</v>
      </c>
      <c r="G113" s="384">
        <v>19884</v>
      </c>
      <c r="H113" s="385" t="s">
        <v>1279</v>
      </c>
      <c r="I113" s="403">
        <f>F113/G113</f>
        <v>0.50455079460873065</v>
      </c>
      <c r="J113" s="404"/>
      <c r="K113" s="405"/>
      <c r="L113" s="406"/>
      <c r="M113" s="407">
        <f t="shared" ca="1" si="26"/>
        <v>2.1815335069686699E-2</v>
      </c>
      <c r="N113" s="323"/>
      <c r="O113" s="323"/>
      <c r="P113" s="323"/>
      <c r="Q113" s="352"/>
      <c r="R113" s="353"/>
      <c r="S113" s="356" t="s">
        <v>1318</v>
      </c>
      <c r="T113" s="357">
        <f>T100*6</f>
        <v>32686.560000000001</v>
      </c>
      <c r="U113" s="357" t="s">
        <v>1319</v>
      </c>
      <c r="V113" s="357"/>
      <c r="W113" s="357"/>
      <c r="X113" s="357"/>
      <c r="Y113" s="365"/>
    </row>
    <row r="114" spans="1:25" s="238" customFormat="1" ht="13.8">
      <c r="A114" s="386" t="s">
        <v>298</v>
      </c>
      <c r="B114" s="387" t="str">
        <f>B101</f>
        <v>场平</v>
      </c>
      <c r="C114" s="388">
        <f>G114*I114</f>
        <v>209.792</v>
      </c>
      <c r="D114" s="388"/>
      <c r="E114" s="388"/>
      <c r="F114" s="389">
        <f t="shared" si="21"/>
        <v>209.792</v>
      </c>
      <c r="G114" s="390">
        <v>10489.6</v>
      </c>
      <c r="H114" s="391" t="str">
        <f>H113</f>
        <v>㎡</v>
      </c>
      <c r="I114" s="408">
        <f>I101</f>
        <v>0.02</v>
      </c>
      <c r="J114" s="409"/>
      <c r="K114" s="410"/>
      <c r="L114" s="411"/>
      <c r="M114" s="412">
        <f t="shared" ca="1" si="26"/>
        <v>4.5618621970339802E-4</v>
      </c>
      <c r="N114" s="325"/>
      <c r="O114" s="325"/>
      <c r="P114" s="325"/>
      <c r="Q114" s="309"/>
      <c r="R114" s="345"/>
      <c r="S114" s="343"/>
      <c r="T114" s="341"/>
      <c r="U114" s="341"/>
      <c r="V114" s="341"/>
      <c r="W114" s="341"/>
      <c r="X114" s="341"/>
      <c r="Y114" s="364"/>
    </row>
    <row r="115" spans="1:25" s="239" customFormat="1" ht="13.8">
      <c r="A115" s="284" t="s">
        <v>298</v>
      </c>
      <c r="B115" s="285" t="s">
        <v>1281</v>
      </c>
      <c r="C115" s="286">
        <f>G115*I115</f>
        <v>99.42</v>
      </c>
      <c r="D115" s="287"/>
      <c r="E115" s="287"/>
      <c r="F115" s="282">
        <f t="shared" ref="F115:F138" si="27">SUM(C115:E115)</f>
        <v>99.42</v>
      </c>
      <c r="G115" s="288">
        <f>G113</f>
        <v>19884</v>
      </c>
      <c r="H115" s="289" t="s">
        <v>1279</v>
      </c>
      <c r="I115" s="326">
        <v>5.0000000000000001E-3</v>
      </c>
      <c r="J115" s="327"/>
      <c r="K115" s="328"/>
      <c r="L115" s="329">
        <v>1.5151408543577E-4</v>
      </c>
      <c r="M115" s="308">
        <f t="shared" ca="1" si="26"/>
        <v>2.1618571710509401E-4</v>
      </c>
      <c r="N115" s="325"/>
      <c r="O115" s="325"/>
      <c r="P115" s="325"/>
      <c r="Q115" s="309"/>
      <c r="R115" s="345"/>
      <c r="S115" s="256"/>
      <c r="T115" s="344"/>
      <c r="U115" s="344"/>
      <c r="V115" s="344"/>
      <c r="W115" s="344"/>
      <c r="X115" s="344"/>
      <c r="Y115" s="360"/>
    </row>
    <row r="116" spans="1:25" s="239" customFormat="1" ht="13.8">
      <c r="A116" s="284" t="s">
        <v>299</v>
      </c>
      <c r="B116" s="285" t="s">
        <v>1282</v>
      </c>
      <c r="C116" s="286">
        <f t="shared" ref="C116:C121" si="28">G116*I116</f>
        <v>119.304</v>
      </c>
      <c r="D116" s="287"/>
      <c r="E116" s="287"/>
      <c r="F116" s="282">
        <f t="shared" si="27"/>
        <v>119.304</v>
      </c>
      <c r="G116" s="288">
        <f t="shared" ref="G116:G121" si="29">G115</f>
        <v>19884</v>
      </c>
      <c r="H116" s="289" t="s">
        <v>1279</v>
      </c>
      <c r="I116" s="326">
        <v>6.0000000000000001E-3</v>
      </c>
      <c r="J116" s="327"/>
      <c r="K116" s="328"/>
      <c r="L116" s="329">
        <v>1.81816902522925E-4</v>
      </c>
      <c r="M116" s="308">
        <f t="shared" ca="1" si="26"/>
        <v>2.5942286052611199E-4</v>
      </c>
      <c r="N116" s="325"/>
      <c r="O116" s="325"/>
      <c r="P116" s="325"/>
      <c r="Q116" s="309"/>
      <c r="R116" s="345"/>
      <c r="S116" s="256"/>
      <c r="T116" s="344"/>
      <c r="U116" s="344"/>
      <c r="V116" s="344"/>
      <c r="W116" s="344"/>
      <c r="X116" s="344"/>
      <c r="Y116" s="360"/>
    </row>
    <row r="117" spans="1:25" s="239" customFormat="1" ht="13.8">
      <c r="A117" s="284" t="s">
        <v>300</v>
      </c>
      <c r="B117" s="285" t="s">
        <v>1283</v>
      </c>
      <c r="C117" s="286">
        <f t="shared" si="28"/>
        <v>4772.16</v>
      </c>
      <c r="D117" s="287"/>
      <c r="E117" s="287"/>
      <c r="F117" s="282">
        <f t="shared" si="27"/>
        <v>4772.16</v>
      </c>
      <c r="G117" s="288">
        <f t="shared" si="29"/>
        <v>19884</v>
      </c>
      <c r="H117" s="289" t="s">
        <v>1279</v>
      </c>
      <c r="I117" s="326">
        <v>0.24</v>
      </c>
      <c r="J117" s="327"/>
      <c r="K117" s="328"/>
      <c r="L117" s="329">
        <v>7.5757042717885196E-3</v>
      </c>
      <c r="M117" s="308">
        <f t="shared" ca="1" si="26"/>
        <v>1.0376914421044501E-2</v>
      </c>
      <c r="N117" s="325"/>
      <c r="O117" s="325"/>
      <c r="P117" s="325"/>
      <c r="Q117" s="309"/>
      <c r="R117" s="345"/>
      <c r="S117" s="256"/>
      <c r="T117" s="344"/>
      <c r="U117" s="344"/>
      <c r="V117" s="344"/>
      <c r="W117" s="344"/>
      <c r="X117" s="344"/>
      <c r="Y117" s="360"/>
    </row>
    <row r="118" spans="1:25" s="239" customFormat="1" ht="13.8">
      <c r="A118" s="284" t="s">
        <v>301</v>
      </c>
      <c r="B118" s="285" t="s">
        <v>1284</v>
      </c>
      <c r="C118" s="286">
        <f t="shared" si="28"/>
        <v>2386.08</v>
      </c>
      <c r="D118" s="287"/>
      <c r="E118" s="287"/>
      <c r="F118" s="282">
        <f t="shared" si="27"/>
        <v>2386.08</v>
      </c>
      <c r="G118" s="288">
        <f t="shared" si="29"/>
        <v>19884</v>
      </c>
      <c r="H118" s="289" t="s">
        <v>1279</v>
      </c>
      <c r="I118" s="326">
        <v>0.12</v>
      </c>
      <c r="J118" s="327"/>
      <c r="K118" s="328"/>
      <c r="L118" s="329">
        <v>4.5454225630731102E-3</v>
      </c>
      <c r="M118" s="308">
        <f t="shared" ca="1" si="26"/>
        <v>5.1884572105222503E-3</v>
      </c>
      <c r="N118" s="325"/>
      <c r="O118" s="325"/>
      <c r="P118" s="325"/>
      <c r="Q118" s="309"/>
      <c r="R118" s="345"/>
      <c r="S118" s="256"/>
      <c r="T118" s="344"/>
      <c r="U118" s="344"/>
      <c r="V118" s="344"/>
      <c r="W118" s="344"/>
      <c r="X118" s="344"/>
      <c r="Y118" s="360"/>
    </row>
    <row r="119" spans="1:25" s="239" customFormat="1" ht="13.8">
      <c r="A119" s="284" t="s">
        <v>302</v>
      </c>
      <c r="B119" s="285" t="s">
        <v>1285</v>
      </c>
      <c r="C119" s="286">
        <f t="shared" si="28"/>
        <v>298.26</v>
      </c>
      <c r="D119" s="287"/>
      <c r="E119" s="287"/>
      <c r="F119" s="282">
        <f t="shared" si="27"/>
        <v>298.26</v>
      </c>
      <c r="G119" s="288">
        <f t="shared" si="29"/>
        <v>19884</v>
      </c>
      <c r="H119" s="289" t="s">
        <v>1279</v>
      </c>
      <c r="I119" s="326">
        <v>1.4999999999999999E-2</v>
      </c>
      <c r="J119" s="327"/>
      <c r="K119" s="328"/>
      <c r="L119" s="329">
        <v>4.5454225630731099E-4</v>
      </c>
      <c r="M119" s="308">
        <f t="shared" ca="1" si="26"/>
        <v>6.4855715131528096E-4</v>
      </c>
      <c r="N119" s="325"/>
      <c r="O119" s="325"/>
      <c r="P119" s="325"/>
      <c r="Q119" s="309"/>
      <c r="R119" s="345"/>
      <c r="S119" s="256"/>
      <c r="T119" s="344"/>
      <c r="U119" s="344"/>
      <c r="V119" s="344"/>
      <c r="W119" s="344"/>
      <c r="X119" s="344"/>
      <c r="Y119" s="360"/>
    </row>
    <row r="120" spans="1:25" s="239" customFormat="1" ht="13.8">
      <c r="A120" s="284" t="s">
        <v>303</v>
      </c>
      <c r="B120" s="285" t="s">
        <v>1286</v>
      </c>
      <c r="C120" s="286">
        <f t="shared" si="28"/>
        <v>596.52</v>
      </c>
      <c r="D120" s="287"/>
      <c r="E120" s="287"/>
      <c r="F120" s="282">
        <f t="shared" si="27"/>
        <v>596.52</v>
      </c>
      <c r="G120" s="288">
        <f t="shared" si="29"/>
        <v>19884</v>
      </c>
      <c r="H120" s="289" t="s">
        <v>1279</v>
      </c>
      <c r="I120" s="326">
        <v>0.03</v>
      </c>
      <c r="J120" s="327"/>
      <c r="K120" s="328"/>
      <c r="L120" s="329">
        <v>1.21211268348616E-3</v>
      </c>
      <c r="M120" s="308">
        <f t="shared" ca="1" si="26"/>
        <v>1.29711430263056E-3</v>
      </c>
      <c r="N120" s="325"/>
      <c r="O120" s="325"/>
      <c r="P120" s="325"/>
      <c r="Q120" s="309"/>
      <c r="R120" s="345"/>
      <c r="S120" s="256"/>
      <c r="T120" s="344"/>
      <c r="U120" s="344"/>
      <c r="V120" s="344"/>
      <c r="W120" s="344"/>
      <c r="X120" s="344"/>
      <c r="Y120" s="360"/>
    </row>
    <row r="121" spans="1:25" s="239" customFormat="1" ht="13.8">
      <c r="A121" s="284" t="s">
        <v>304</v>
      </c>
      <c r="B121" s="285" t="s">
        <v>1287</v>
      </c>
      <c r="C121" s="286">
        <f t="shared" si="28"/>
        <v>1391.88</v>
      </c>
      <c r="D121" s="287"/>
      <c r="E121" s="287"/>
      <c r="F121" s="282">
        <f t="shared" si="27"/>
        <v>1391.88</v>
      </c>
      <c r="G121" s="288">
        <f t="shared" si="29"/>
        <v>19884</v>
      </c>
      <c r="H121" s="289" t="s">
        <v>1279</v>
      </c>
      <c r="I121" s="326">
        <v>7.0000000000000007E-2</v>
      </c>
      <c r="J121" s="327"/>
      <c r="K121" s="328"/>
      <c r="L121" s="329">
        <v>1.81816902522925E-3</v>
      </c>
      <c r="M121" s="308">
        <f t="shared" ca="1" si="26"/>
        <v>3.0266000394713099E-3</v>
      </c>
      <c r="N121" s="325"/>
      <c r="O121" s="325"/>
      <c r="P121" s="325"/>
      <c r="Q121" s="309"/>
      <c r="R121" s="345"/>
      <c r="S121" s="256"/>
      <c r="T121" s="344"/>
      <c r="U121" s="344"/>
      <c r="V121" s="344"/>
      <c r="W121" s="344"/>
      <c r="X121" s="344"/>
      <c r="Y121" s="360"/>
    </row>
    <row r="122" spans="1:25" s="239" customFormat="1" ht="13.8">
      <c r="A122" s="284" t="s">
        <v>305</v>
      </c>
      <c r="B122" s="285" t="s">
        <v>1290</v>
      </c>
      <c r="C122" s="286"/>
      <c r="D122" s="287">
        <f>G122*I122</f>
        <v>0</v>
      </c>
      <c r="E122" s="287"/>
      <c r="F122" s="282">
        <f t="shared" si="27"/>
        <v>0</v>
      </c>
      <c r="G122" s="288">
        <v>0</v>
      </c>
      <c r="H122" s="289" t="s">
        <v>1291</v>
      </c>
      <c r="I122" s="326">
        <v>45</v>
      </c>
      <c r="J122" s="327"/>
      <c r="K122" s="328"/>
      <c r="L122" s="329">
        <v>1.4004588363170699E-4</v>
      </c>
      <c r="M122" s="308">
        <f t="shared" ca="1" si="26"/>
        <v>0</v>
      </c>
      <c r="N122" s="325"/>
      <c r="O122" s="325"/>
      <c r="P122" s="325"/>
      <c r="Q122" s="309"/>
      <c r="R122" s="345"/>
      <c r="S122" s="256"/>
      <c r="T122" s="344"/>
      <c r="U122" s="344"/>
      <c r="V122" s="344"/>
      <c r="W122" s="344"/>
      <c r="X122" s="344"/>
      <c r="Y122" s="360"/>
    </row>
    <row r="123" spans="1:25" s="239" customFormat="1" ht="13.8">
      <c r="A123" s="284" t="s">
        <v>987</v>
      </c>
      <c r="B123" s="285" t="s">
        <v>1292</v>
      </c>
      <c r="C123" s="286">
        <f>G123*I123</f>
        <v>119.304</v>
      </c>
      <c r="D123" s="287"/>
      <c r="E123" s="287"/>
      <c r="F123" s="282">
        <f t="shared" si="27"/>
        <v>119.304</v>
      </c>
      <c r="G123" s="288">
        <f>G121</f>
        <v>19884</v>
      </c>
      <c r="H123" s="289" t="s">
        <v>1279</v>
      </c>
      <c r="I123" s="326">
        <v>6.0000000000000001E-3</v>
      </c>
      <c r="J123" s="327"/>
      <c r="K123" s="328"/>
      <c r="L123" s="329">
        <v>1.81816902522925E-4</v>
      </c>
      <c r="M123" s="308">
        <f t="shared" ca="1" si="26"/>
        <v>2.5942286052611199E-4</v>
      </c>
      <c r="N123" s="325"/>
      <c r="O123" s="325"/>
      <c r="P123" s="325"/>
      <c r="Q123" s="309"/>
      <c r="R123" s="345"/>
      <c r="S123" s="256"/>
      <c r="T123" s="344"/>
      <c r="U123" s="344"/>
      <c r="V123" s="344"/>
      <c r="W123" s="344"/>
      <c r="X123" s="344"/>
      <c r="Y123" s="360"/>
    </row>
    <row r="124" spans="1:25" s="239" customFormat="1" ht="13.8">
      <c r="A124" s="284" t="s">
        <v>988</v>
      </c>
      <c r="B124" s="285" t="s">
        <v>1293</v>
      </c>
      <c r="C124" s="286">
        <f>G124*I124</f>
        <v>39.768000000000001</v>
      </c>
      <c r="D124" s="287"/>
      <c r="E124" s="287"/>
      <c r="F124" s="282">
        <f t="shared" si="27"/>
        <v>39.768000000000001</v>
      </c>
      <c r="G124" s="288">
        <f>G123</f>
        <v>19884</v>
      </c>
      <c r="H124" s="289" t="s">
        <v>1279</v>
      </c>
      <c r="I124" s="326">
        <v>2E-3</v>
      </c>
      <c r="J124" s="327"/>
      <c r="K124" s="328"/>
      <c r="L124" s="329">
        <v>6.0605634174308201E-5</v>
      </c>
      <c r="M124" s="308">
        <f t="shared" ca="1" si="26"/>
        <v>8.6474286842037494E-5</v>
      </c>
      <c r="N124" s="325"/>
      <c r="O124" s="325"/>
      <c r="P124" s="325"/>
      <c r="Q124" s="309"/>
      <c r="R124" s="345"/>
      <c r="S124" s="256"/>
      <c r="T124" s="344"/>
      <c r="U124" s="344"/>
      <c r="V124" s="344"/>
      <c r="W124" s="344"/>
      <c r="X124" s="344"/>
      <c r="Y124" s="360"/>
    </row>
    <row r="125" spans="1:25" s="244" customFormat="1" ht="13.8">
      <c r="A125" s="297" t="s">
        <v>1320</v>
      </c>
      <c r="B125" s="274" t="s">
        <v>1321</v>
      </c>
      <c r="C125" s="275">
        <f>SUM(C126:C136)</f>
        <v>10032.488000000001</v>
      </c>
      <c r="D125" s="275">
        <f>SUM(D126:D136)</f>
        <v>0</v>
      </c>
      <c r="E125" s="275">
        <f>SUM(E126:E136)</f>
        <v>0</v>
      </c>
      <c r="F125" s="276">
        <f t="shared" si="27"/>
        <v>10032.488000000001</v>
      </c>
      <c r="G125" s="392">
        <v>19884</v>
      </c>
      <c r="H125" s="278" t="s">
        <v>1279</v>
      </c>
      <c r="I125" s="318">
        <f>F125/G125</f>
        <v>0.50455079460873065</v>
      </c>
      <c r="J125" s="333"/>
      <c r="K125" s="334"/>
      <c r="L125" s="335"/>
      <c r="M125" s="322">
        <f t="shared" ca="1" si="26"/>
        <v>2.1815335069686699E-2</v>
      </c>
      <c r="N125" s="323"/>
      <c r="O125" s="323"/>
      <c r="P125" s="323"/>
      <c r="Q125" s="352"/>
      <c r="R125" s="353"/>
      <c r="S125" s="356"/>
      <c r="T125" s="357"/>
      <c r="U125" s="357"/>
      <c r="V125" s="357"/>
      <c r="W125" s="357"/>
      <c r="X125" s="357"/>
      <c r="Y125" s="365"/>
    </row>
    <row r="126" spans="1:25" s="238" customFormat="1" ht="13.8">
      <c r="A126" s="367" t="s">
        <v>307</v>
      </c>
      <c r="B126" s="280" t="str">
        <f>B114</f>
        <v>场平</v>
      </c>
      <c r="C126" s="281">
        <f>G126*I126</f>
        <v>209.792</v>
      </c>
      <c r="D126" s="281"/>
      <c r="E126" s="281"/>
      <c r="F126" s="282">
        <f t="shared" si="27"/>
        <v>209.792</v>
      </c>
      <c r="G126" s="288">
        <v>10489.6</v>
      </c>
      <c r="H126" s="260" t="str">
        <f>H125</f>
        <v>㎡</v>
      </c>
      <c r="I126" s="324">
        <f>I114</f>
        <v>0.02</v>
      </c>
      <c r="J126" s="331"/>
      <c r="K126" s="336"/>
      <c r="L126" s="332"/>
      <c r="M126" s="308">
        <f t="shared" ca="1" si="26"/>
        <v>4.5618621970339802E-4</v>
      </c>
      <c r="N126" s="325"/>
      <c r="O126" s="325"/>
      <c r="P126" s="325"/>
      <c r="Q126" s="309"/>
      <c r="R126" s="345"/>
      <c r="S126" s="343"/>
      <c r="T126" s="341"/>
      <c r="U126" s="341"/>
      <c r="V126" s="341"/>
      <c r="W126" s="341"/>
      <c r="X126" s="341"/>
      <c r="Y126" s="364"/>
    </row>
    <row r="127" spans="1:25" s="239" customFormat="1" ht="13.8">
      <c r="A127" s="284" t="s">
        <v>308</v>
      </c>
      <c r="B127" s="285" t="s">
        <v>1281</v>
      </c>
      <c r="C127" s="286">
        <f>G127*I127</f>
        <v>99.42</v>
      </c>
      <c r="D127" s="287"/>
      <c r="E127" s="287"/>
      <c r="F127" s="282">
        <f t="shared" si="27"/>
        <v>99.42</v>
      </c>
      <c r="G127" s="288">
        <f>G125</f>
        <v>19884</v>
      </c>
      <c r="H127" s="289" t="s">
        <v>1279</v>
      </c>
      <c r="I127" s="326">
        <v>5.0000000000000001E-3</v>
      </c>
      <c r="J127" s="327"/>
      <c r="K127" s="328"/>
      <c r="L127" s="329">
        <v>1.5151408543577E-4</v>
      </c>
      <c r="M127" s="308">
        <f t="shared" ca="1" si="26"/>
        <v>2.1618571710509401E-4</v>
      </c>
      <c r="N127" s="325"/>
      <c r="O127" s="325"/>
      <c r="P127" s="325"/>
      <c r="Q127" s="309"/>
      <c r="R127" s="345"/>
      <c r="S127" s="256"/>
      <c r="T127" s="344"/>
      <c r="U127" s="344"/>
      <c r="V127" s="344"/>
      <c r="W127" s="344"/>
      <c r="X127" s="344"/>
      <c r="Y127" s="360"/>
    </row>
    <row r="128" spans="1:25" s="239" customFormat="1" ht="13.8">
      <c r="A128" s="284" t="s">
        <v>309</v>
      </c>
      <c r="B128" s="285" t="s">
        <v>1282</v>
      </c>
      <c r="C128" s="286">
        <f t="shared" ref="C128:C133" si="30">G128*I128</f>
        <v>119.304</v>
      </c>
      <c r="D128" s="287"/>
      <c r="E128" s="287"/>
      <c r="F128" s="282">
        <f t="shared" si="27"/>
        <v>119.304</v>
      </c>
      <c r="G128" s="288">
        <f t="shared" ref="G128:G133" si="31">G127</f>
        <v>19884</v>
      </c>
      <c r="H128" s="289" t="s">
        <v>1279</v>
      </c>
      <c r="I128" s="326">
        <v>6.0000000000000001E-3</v>
      </c>
      <c r="J128" s="327"/>
      <c r="K128" s="328"/>
      <c r="L128" s="329">
        <v>1.81816902522925E-4</v>
      </c>
      <c r="M128" s="308">
        <f t="shared" ca="1" si="26"/>
        <v>2.5942286052611199E-4</v>
      </c>
      <c r="N128" s="325"/>
      <c r="O128" s="325"/>
      <c r="P128" s="325"/>
      <c r="Q128" s="309"/>
      <c r="R128" s="345"/>
      <c r="S128" s="256"/>
      <c r="T128" s="344"/>
      <c r="U128" s="344"/>
      <c r="V128" s="344"/>
      <c r="W128" s="344"/>
      <c r="X128" s="344"/>
      <c r="Y128" s="360"/>
    </row>
    <row r="129" spans="1:25" s="239" customFormat="1" ht="13.8">
      <c r="A129" s="284" t="s">
        <v>310</v>
      </c>
      <c r="B129" s="285" t="s">
        <v>1283</v>
      </c>
      <c r="C129" s="286">
        <f t="shared" si="30"/>
        <v>4772.16</v>
      </c>
      <c r="D129" s="287"/>
      <c r="E129" s="287"/>
      <c r="F129" s="282">
        <f t="shared" si="27"/>
        <v>4772.16</v>
      </c>
      <c r="G129" s="288">
        <f t="shared" si="31"/>
        <v>19884</v>
      </c>
      <c r="H129" s="289" t="s">
        <v>1279</v>
      </c>
      <c r="I129" s="326">
        <v>0.24</v>
      </c>
      <c r="J129" s="327"/>
      <c r="K129" s="328"/>
      <c r="L129" s="329">
        <v>7.5757042717885196E-3</v>
      </c>
      <c r="M129" s="308">
        <f t="shared" ca="1" si="26"/>
        <v>1.0376914421044501E-2</v>
      </c>
      <c r="N129" s="325"/>
      <c r="O129" s="325"/>
      <c r="P129" s="325"/>
      <c r="Q129" s="309"/>
      <c r="R129" s="345"/>
      <c r="S129" s="256"/>
      <c r="T129" s="344"/>
      <c r="U129" s="344"/>
      <c r="V129" s="344"/>
      <c r="W129" s="344"/>
      <c r="X129" s="344"/>
      <c r="Y129" s="360"/>
    </row>
    <row r="130" spans="1:25" s="239" customFormat="1" ht="13.8">
      <c r="A130" s="284" t="s">
        <v>311</v>
      </c>
      <c r="B130" s="285" t="s">
        <v>1284</v>
      </c>
      <c r="C130" s="286">
        <f t="shared" si="30"/>
        <v>2386.08</v>
      </c>
      <c r="D130" s="287"/>
      <c r="E130" s="287"/>
      <c r="F130" s="282">
        <f t="shared" si="27"/>
        <v>2386.08</v>
      </c>
      <c r="G130" s="288">
        <f t="shared" si="31"/>
        <v>19884</v>
      </c>
      <c r="H130" s="289" t="s">
        <v>1279</v>
      </c>
      <c r="I130" s="326">
        <v>0.12</v>
      </c>
      <c r="J130" s="327"/>
      <c r="K130" s="328"/>
      <c r="L130" s="329">
        <v>4.5454225630731102E-3</v>
      </c>
      <c r="M130" s="308">
        <f t="shared" ca="1" si="26"/>
        <v>5.1884572105222503E-3</v>
      </c>
      <c r="N130" s="325"/>
      <c r="O130" s="325"/>
      <c r="P130" s="325"/>
      <c r="Q130" s="309"/>
      <c r="R130" s="345"/>
      <c r="S130" s="256"/>
      <c r="T130" s="344"/>
      <c r="U130" s="344"/>
      <c r="V130" s="344"/>
      <c r="W130" s="344"/>
      <c r="X130" s="344"/>
      <c r="Y130" s="360"/>
    </row>
    <row r="131" spans="1:25" s="239" customFormat="1" ht="13.8">
      <c r="A131" s="284" t="s">
        <v>312</v>
      </c>
      <c r="B131" s="285" t="s">
        <v>1285</v>
      </c>
      <c r="C131" s="286">
        <f t="shared" si="30"/>
        <v>298.26</v>
      </c>
      <c r="D131" s="287"/>
      <c r="E131" s="287"/>
      <c r="F131" s="282">
        <f t="shared" si="27"/>
        <v>298.26</v>
      </c>
      <c r="G131" s="288">
        <f t="shared" si="31"/>
        <v>19884</v>
      </c>
      <c r="H131" s="289" t="s">
        <v>1279</v>
      </c>
      <c r="I131" s="326">
        <v>1.4999999999999999E-2</v>
      </c>
      <c r="J131" s="327"/>
      <c r="K131" s="328"/>
      <c r="L131" s="329">
        <v>4.5454225630731099E-4</v>
      </c>
      <c r="M131" s="308">
        <f t="shared" ca="1" si="26"/>
        <v>6.4855715131528096E-4</v>
      </c>
      <c r="N131" s="325"/>
      <c r="O131" s="325"/>
      <c r="P131" s="325"/>
      <c r="Q131" s="309"/>
      <c r="R131" s="345"/>
      <c r="S131" s="256"/>
      <c r="T131" s="344"/>
      <c r="U131" s="344"/>
      <c r="V131" s="344"/>
      <c r="W131" s="344"/>
      <c r="X131" s="344"/>
      <c r="Y131" s="360"/>
    </row>
    <row r="132" spans="1:25" s="239" customFormat="1" ht="13.8">
      <c r="A132" s="284" t="s">
        <v>313</v>
      </c>
      <c r="B132" s="285" t="s">
        <v>1286</v>
      </c>
      <c r="C132" s="286">
        <f t="shared" si="30"/>
        <v>596.52</v>
      </c>
      <c r="D132" s="287"/>
      <c r="E132" s="287"/>
      <c r="F132" s="282">
        <f t="shared" si="27"/>
        <v>596.52</v>
      </c>
      <c r="G132" s="288">
        <f t="shared" si="31"/>
        <v>19884</v>
      </c>
      <c r="H132" s="289" t="s">
        <v>1279</v>
      </c>
      <c r="I132" s="326">
        <v>0.03</v>
      </c>
      <c r="J132" s="327"/>
      <c r="K132" s="328"/>
      <c r="L132" s="329">
        <v>1.21211268348616E-3</v>
      </c>
      <c r="M132" s="308">
        <f t="shared" ca="1" si="26"/>
        <v>1.29711430263056E-3</v>
      </c>
      <c r="N132" s="325"/>
      <c r="O132" s="325"/>
      <c r="P132" s="325"/>
      <c r="Q132" s="309"/>
      <c r="R132" s="345"/>
      <c r="S132" s="256"/>
      <c r="T132" s="344"/>
      <c r="U132" s="344"/>
      <c r="V132" s="344"/>
      <c r="W132" s="344"/>
      <c r="X132" s="344"/>
      <c r="Y132" s="360"/>
    </row>
    <row r="133" spans="1:25" s="239" customFormat="1" ht="13.8">
      <c r="A133" s="284" t="s">
        <v>314</v>
      </c>
      <c r="B133" s="285" t="s">
        <v>1287</v>
      </c>
      <c r="C133" s="286">
        <f t="shared" si="30"/>
        <v>1391.88</v>
      </c>
      <c r="D133" s="287"/>
      <c r="E133" s="287"/>
      <c r="F133" s="282">
        <f t="shared" si="27"/>
        <v>1391.88</v>
      </c>
      <c r="G133" s="288">
        <f t="shared" si="31"/>
        <v>19884</v>
      </c>
      <c r="H133" s="289" t="s">
        <v>1279</v>
      </c>
      <c r="I133" s="326">
        <v>7.0000000000000007E-2</v>
      </c>
      <c r="J133" s="327"/>
      <c r="K133" s="328"/>
      <c r="L133" s="329">
        <v>1.81816902522925E-3</v>
      </c>
      <c r="M133" s="308">
        <f t="shared" ca="1" si="26"/>
        <v>3.0266000394713099E-3</v>
      </c>
      <c r="N133" s="325"/>
      <c r="O133" s="325"/>
      <c r="P133" s="325"/>
      <c r="Q133" s="309"/>
      <c r="R133" s="345"/>
      <c r="S133" s="256"/>
      <c r="T133" s="344"/>
      <c r="U133" s="344"/>
      <c r="V133" s="344"/>
      <c r="W133" s="344"/>
      <c r="X133" s="344"/>
      <c r="Y133" s="360"/>
    </row>
    <row r="134" spans="1:25" s="239" customFormat="1" ht="13.8">
      <c r="A134" s="284" t="s">
        <v>990</v>
      </c>
      <c r="B134" s="285" t="s">
        <v>1290</v>
      </c>
      <c r="C134" s="286"/>
      <c r="D134" s="287">
        <f>G134*I134</f>
        <v>0</v>
      </c>
      <c r="E134" s="287"/>
      <c r="F134" s="282">
        <f t="shared" si="27"/>
        <v>0</v>
      </c>
      <c r="G134" s="288">
        <v>0</v>
      </c>
      <c r="H134" s="289" t="s">
        <v>1291</v>
      </c>
      <c r="I134" s="326">
        <v>45</v>
      </c>
      <c r="J134" s="327"/>
      <c r="K134" s="328"/>
      <c r="L134" s="329">
        <v>1.4004588363170699E-4</v>
      </c>
      <c r="M134" s="308">
        <f t="shared" ca="1" si="26"/>
        <v>0</v>
      </c>
      <c r="N134" s="325"/>
      <c r="O134" s="325"/>
      <c r="P134" s="325"/>
      <c r="Q134" s="309"/>
      <c r="R134" s="345"/>
      <c r="S134" s="256"/>
      <c r="T134" s="344"/>
      <c r="U134" s="344"/>
      <c r="V134" s="344"/>
      <c r="W134" s="344"/>
      <c r="X134" s="344"/>
      <c r="Y134" s="360"/>
    </row>
    <row r="135" spans="1:25" s="239" customFormat="1" ht="13.8">
      <c r="A135" s="284" t="s">
        <v>991</v>
      </c>
      <c r="B135" s="285" t="s">
        <v>1292</v>
      </c>
      <c r="C135" s="286">
        <f>G135*I135</f>
        <v>119.304</v>
      </c>
      <c r="D135" s="287"/>
      <c r="E135" s="287"/>
      <c r="F135" s="282">
        <f t="shared" si="27"/>
        <v>119.304</v>
      </c>
      <c r="G135" s="288">
        <f>G133</f>
        <v>19884</v>
      </c>
      <c r="H135" s="289" t="s">
        <v>1279</v>
      </c>
      <c r="I135" s="326">
        <v>6.0000000000000001E-3</v>
      </c>
      <c r="J135" s="327"/>
      <c r="K135" s="328"/>
      <c r="L135" s="329">
        <v>1.81816902522925E-4</v>
      </c>
      <c r="M135" s="308">
        <f t="shared" ca="1" si="26"/>
        <v>2.5942286052611199E-4</v>
      </c>
      <c r="N135" s="325"/>
      <c r="O135" s="325"/>
      <c r="P135" s="325"/>
      <c r="Q135" s="309"/>
      <c r="R135" s="345"/>
      <c r="S135" s="256"/>
      <c r="T135" s="344"/>
      <c r="U135" s="344"/>
      <c r="V135" s="344"/>
      <c r="W135" s="344"/>
      <c r="X135" s="344"/>
      <c r="Y135" s="360"/>
    </row>
    <row r="136" spans="1:25" s="239" customFormat="1" ht="13.8">
      <c r="A136" s="284" t="s">
        <v>992</v>
      </c>
      <c r="B136" s="285" t="s">
        <v>1293</v>
      </c>
      <c r="C136" s="286">
        <f>G136*I136</f>
        <v>39.768000000000001</v>
      </c>
      <c r="D136" s="287"/>
      <c r="E136" s="287"/>
      <c r="F136" s="282">
        <f t="shared" si="27"/>
        <v>39.768000000000001</v>
      </c>
      <c r="G136" s="288">
        <f>G135</f>
        <v>19884</v>
      </c>
      <c r="H136" s="289" t="s">
        <v>1279</v>
      </c>
      <c r="I136" s="326">
        <v>2E-3</v>
      </c>
      <c r="J136" s="327"/>
      <c r="K136" s="328"/>
      <c r="L136" s="329">
        <v>6.0605634174308201E-5</v>
      </c>
      <c r="M136" s="308">
        <f t="shared" ref="M136:M167" ca="1" si="32">F136/$F$378*100%</f>
        <v>8.6474286842037494E-5</v>
      </c>
      <c r="N136" s="325"/>
      <c r="O136" s="325"/>
      <c r="P136" s="325"/>
      <c r="Q136" s="309"/>
      <c r="R136" s="345"/>
      <c r="S136" s="256"/>
      <c r="T136" s="344"/>
      <c r="U136" s="344"/>
      <c r="V136" s="344"/>
      <c r="W136" s="344"/>
      <c r="X136" s="344"/>
      <c r="Y136" s="360"/>
    </row>
    <row r="137" spans="1:25" s="244" customFormat="1" ht="13.8">
      <c r="A137" s="297" t="s">
        <v>1322</v>
      </c>
      <c r="B137" s="274" t="s">
        <v>1323</v>
      </c>
      <c r="C137" s="275">
        <f>SUM(C138:C148)</f>
        <v>7119.4070000000002</v>
      </c>
      <c r="D137" s="275">
        <f>SUM(D138:D148)</f>
        <v>0</v>
      </c>
      <c r="E137" s="275">
        <f>SUM(E138:E148)</f>
        <v>0</v>
      </c>
      <c r="F137" s="276">
        <f t="shared" si="27"/>
        <v>7119.4070000000002</v>
      </c>
      <c r="G137" s="392">
        <v>12591</v>
      </c>
      <c r="H137" s="278" t="s">
        <v>1279</v>
      </c>
      <c r="I137" s="318">
        <f>F137/G137</f>
        <v>0.56543618457628464</v>
      </c>
      <c r="J137" s="333"/>
      <c r="K137" s="334"/>
      <c r="L137" s="335"/>
      <c r="M137" s="322">
        <f t="shared" ca="1" si="32"/>
        <v>1.5480930473325501E-2</v>
      </c>
      <c r="N137" s="323"/>
      <c r="O137" s="323"/>
      <c r="P137" s="323"/>
      <c r="Q137" s="352"/>
      <c r="R137" s="353"/>
      <c r="S137" s="356"/>
      <c r="T137" s="357">
        <f>37500+23000</f>
        <v>60500</v>
      </c>
      <c r="U137" s="357"/>
      <c r="V137" s="357"/>
      <c r="W137" s="357"/>
      <c r="X137" s="357"/>
      <c r="Y137" s="365"/>
    </row>
    <row r="138" spans="1:25" s="238" customFormat="1" ht="13.8">
      <c r="A138" s="367" t="s">
        <v>316</v>
      </c>
      <c r="B138" s="280" t="str">
        <f>B126</f>
        <v>场平</v>
      </c>
      <c r="C138" s="281">
        <f>G138*I138</f>
        <v>257.31200000000001</v>
      </c>
      <c r="D138" s="281"/>
      <c r="E138" s="281"/>
      <c r="F138" s="282">
        <f t="shared" si="27"/>
        <v>257.31200000000001</v>
      </c>
      <c r="G138" s="288">
        <v>12865.6</v>
      </c>
      <c r="H138" s="260" t="str">
        <f>H137</f>
        <v>㎡</v>
      </c>
      <c r="I138" s="324">
        <f>I126</f>
        <v>0.02</v>
      </c>
      <c r="J138" s="331"/>
      <c r="K138" s="336"/>
      <c r="L138" s="332"/>
      <c r="M138" s="308">
        <f t="shared" ca="1" si="32"/>
        <v>5.5951699094493898E-4</v>
      </c>
      <c r="N138" s="325"/>
      <c r="O138" s="325"/>
      <c r="P138" s="325"/>
      <c r="Q138" s="309"/>
      <c r="R138" s="345"/>
      <c r="S138" s="343"/>
      <c r="T138" s="341"/>
      <c r="U138" s="341"/>
      <c r="V138" s="341"/>
      <c r="W138" s="341"/>
      <c r="X138" s="341"/>
      <c r="Y138" s="364"/>
    </row>
    <row r="139" spans="1:25" s="239" customFormat="1" ht="13.8">
      <c r="A139" s="284" t="s">
        <v>317</v>
      </c>
      <c r="B139" s="285" t="s">
        <v>1281</v>
      </c>
      <c r="C139" s="286">
        <f>G139*I139</f>
        <v>62.954999999999998</v>
      </c>
      <c r="D139" s="287"/>
      <c r="E139" s="287"/>
      <c r="F139" s="282">
        <f t="shared" ref="F139:F162" si="33">SUM(C139:E139)</f>
        <v>62.954999999999998</v>
      </c>
      <c r="G139" s="288">
        <f>G137</f>
        <v>12591</v>
      </c>
      <c r="H139" s="289" t="s">
        <v>1279</v>
      </c>
      <c r="I139" s="326">
        <v>5.0000000000000001E-3</v>
      </c>
      <c r="J139" s="327"/>
      <c r="K139" s="328"/>
      <c r="L139" s="329">
        <v>1.5151408543577E-4</v>
      </c>
      <c r="M139" s="308">
        <f t="shared" ca="1" si="32"/>
        <v>1.36893701673216E-4</v>
      </c>
      <c r="N139" s="325"/>
      <c r="O139" s="325"/>
      <c r="P139" s="325"/>
      <c r="Q139" s="309"/>
      <c r="R139" s="345"/>
      <c r="S139" s="256"/>
      <c r="T139" s="344"/>
      <c r="U139" s="344"/>
      <c r="V139" s="344"/>
      <c r="W139" s="344"/>
      <c r="X139" s="344"/>
      <c r="Y139" s="360"/>
    </row>
    <row r="140" spans="1:25" s="239" customFormat="1" ht="13.8">
      <c r="A140" s="367" t="s">
        <v>318</v>
      </c>
      <c r="B140" s="285" t="s">
        <v>1282</v>
      </c>
      <c r="C140" s="286">
        <f t="shared" ref="C140:C145" si="34">G140*I140</f>
        <v>88.137</v>
      </c>
      <c r="D140" s="287"/>
      <c r="E140" s="287"/>
      <c r="F140" s="282">
        <f t="shared" si="33"/>
        <v>88.137</v>
      </c>
      <c r="G140" s="288">
        <f t="shared" ref="G140:G145" si="35">G139</f>
        <v>12591</v>
      </c>
      <c r="H140" s="289" t="s">
        <v>1279</v>
      </c>
      <c r="I140" s="326">
        <v>7.0000000000000001E-3</v>
      </c>
      <c r="J140" s="327"/>
      <c r="K140" s="328"/>
      <c r="L140" s="329">
        <v>1.81816902522925E-4</v>
      </c>
      <c r="M140" s="308">
        <f t="shared" ca="1" si="32"/>
        <v>1.9165118234250301E-4</v>
      </c>
      <c r="N140" s="325"/>
      <c r="O140" s="325"/>
      <c r="P140" s="325"/>
      <c r="Q140" s="309"/>
      <c r="R140" s="345"/>
      <c r="S140" s="256"/>
      <c r="T140" s="344"/>
      <c r="U140" s="344"/>
      <c r="V140" s="344"/>
      <c r="W140" s="344"/>
      <c r="X140" s="344"/>
      <c r="Y140" s="360"/>
    </row>
    <row r="141" spans="1:25" s="239" customFormat="1" ht="13.8">
      <c r="A141" s="284" t="s">
        <v>319</v>
      </c>
      <c r="B141" s="285" t="s">
        <v>1283</v>
      </c>
      <c r="C141" s="286">
        <f t="shared" si="34"/>
        <v>3147.75</v>
      </c>
      <c r="D141" s="287"/>
      <c r="E141" s="287"/>
      <c r="F141" s="282">
        <f t="shared" si="33"/>
        <v>3147.75</v>
      </c>
      <c r="G141" s="288">
        <f t="shared" si="35"/>
        <v>12591</v>
      </c>
      <c r="H141" s="289" t="s">
        <v>1279</v>
      </c>
      <c r="I141" s="326">
        <v>0.25</v>
      </c>
      <c r="J141" s="327"/>
      <c r="K141" s="328"/>
      <c r="L141" s="329">
        <v>7.5757042717885196E-3</v>
      </c>
      <c r="M141" s="308">
        <f t="shared" ca="1" si="32"/>
        <v>6.8446850836608201E-3</v>
      </c>
      <c r="N141" s="325"/>
      <c r="O141" s="325"/>
      <c r="P141" s="325"/>
      <c r="Q141" s="309"/>
      <c r="R141" s="345"/>
      <c r="S141" s="256"/>
      <c r="T141" s="344"/>
      <c r="U141" s="344"/>
      <c r="V141" s="344"/>
      <c r="W141" s="344"/>
      <c r="X141" s="344"/>
      <c r="Y141" s="360"/>
    </row>
    <row r="142" spans="1:25" s="239" customFormat="1" ht="13.8">
      <c r="A142" s="367" t="s">
        <v>320</v>
      </c>
      <c r="B142" s="285" t="s">
        <v>1284</v>
      </c>
      <c r="C142" s="286">
        <f t="shared" si="34"/>
        <v>1888.6499999999999</v>
      </c>
      <c r="D142" s="287"/>
      <c r="E142" s="287"/>
      <c r="F142" s="282">
        <f t="shared" si="33"/>
        <v>1888.6499999999999</v>
      </c>
      <c r="G142" s="288">
        <f t="shared" si="35"/>
        <v>12591</v>
      </c>
      <c r="H142" s="289" t="s">
        <v>1279</v>
      </c>
      <c r="I142" s="326">
        <v>0.15</v>
      </c>
      <c r="J142" s="327"/>
      <c r="K142" s="328"/>
      <c r="L142" s="329">
        <v>4.5454225630731102E-3</v>
      </c>
      <c r="M142" s="308">
        <f t="shared" ca="1" si="32"/>
        <v>4.1068110501964903E-3</v>
      </c>
      <c r="N142" s="325"/>
      <c r="O142" s="325"/>
      <c r="P142" s="325"/>
      <c r="Q142" s="309"/>
      <c r="R142" s="345"/>
      <c r="S142" s="256"/>
      <c r="T142" s="344"/>
      <c r="U142" s="344"/>
      <c r="V142" s="344"/>
      <c r="W142" s="344"/>
      <c r="X142" s="344"/>
      <c r="Y142" s="360"/>
    </row>
    <row r="143" spans="1:25" s="239" customFormat="1" ht="13.8">
      <c r="A143" s="284" t="s">
        <v>321</v>
      </c>
      <c r="B143" s="285" t="s">
        <v>1285</v>
      </c>
      <c r="C143" s="286">
        <f t="shared" si="34"/>
        <v>188.86499999999998</v>
      </c>
      <c r="D143" s="287"/>
      <c r="E143" s="287"/>
      <c r="F143" s="282">
        <f t="shared" si="33"/>
        <v>188.86499999999998</v>
      </c>
      <c r="G143" s="288">
        <f t="shared" si="35"/>
        <v>12591</v>
      </c>
      <c r="H143" s="289" t="s">
        <v>1279</v>
      </c>
      <c r="I143" s="326">
        <v>1.4999999999999999E-2</v>
      </c>
      <c r="J143" s="327"/>
      <c r="K143" s="328"/>
      <c r="L143" s="329">
        <v>4.5454225630731099E-4</v>
      </c>
      <c r="M143" s="308">
        <f t="shared" ca="1" si="32"/>
        <v>4.1068110501964899E-4</v>
      </c>
      <c r="N143" s="325"/>
      <c r="O143" s="325"/>
      <c r="P143" s="325"/>
      <c r="Q143" s="309"/>
      <c r="R143" s="345"/>
      <c r="S143" s="256"/>
      <c r="T143" s="344"/>
      <c r="U143" s="344"/>
      <c r="V143" s="344"/>
      <c r="W143" s="344"/>
      <c r="X143" s="344"/>
      <c r="Y143" s="360"/>
    </row>
    <row r="144" spans="1:25" s="239" customFormat="1" ht="13.8">
      <c r="A144" s="367" t="s">
        <v>322</v>
      </c>
      <c r="B144" s="285" t="s">
        <v>1286</v>
      </c>
      <c r="C144" s="286">
        <f t="shared" si="34"/>
        <v>503.64</v>
      </c>
      <c r="D144" s="287"/>
      <c r="E144" s="287"/>
      <c r="F144" s="282">
        <f t="shared" si="33"/>
        <v>503.64</v>
      </c>
      <c r="G144" s="288">
        <f t="shared" si="35"/>
        <v>12591</v>
      </c>
      <c r="H144" s="289" t="s">
        <v>1279</v>
      </c>
      <c r="I144" s="326">
        <v>0.04</v>
      </c>
      <c r="J144" s="327"/>
      <c r="K144" s="328"/>
      <c r="L144" s="329">
        <v>1.21211268348616E-3</v>
      </c>
      <c r="M144" s="308">
        <f t="shared" ca="1" si="32"/>
        <v>1.0951496133857299E-3</v>
      </c>
      <c r="N144" s="325"/>
      <c r="O144" s="325"/>
      <c r="P144" s="325"/>
      <c r="Q144" s="309"/>
      <c r="R144" s="345"/>
      <c r="S144" s="256"/>
      <c r="T144" s="344"/>
      <c r="U144" s="344"/>
      <c r="V144" s="344"/>
      <c r="W144" s="344"/>
      <c r="X144" s="344"/>
      <c r="Y144" s="360"/>
    </row>
    <row r="145" spans="1:25" s="239" customFormat="1" ht="13.8">
      <c r="A145" s="284" t="s">
        <v>323</v>
      </c>
      <c r="B145" s="285" t="s">
        <v>1287</v>
      </c>
      <c r="C145" s="286">
        <f t="shared" si="34"/>
        <v>881.37000000000012</v>
      </c>
      <c r="D145" s="287"/>
      <c r="E145" s="287"/>
      <c r="F145" s="282">
        <f t="shared" si="33"/>
        <v>881.37000000000012</v>
      </c>
      <c r="G145" s="288">
        <f t="shared" si="35"/>
        <v>12591</v>
      </c>
      <c r="H145" s="289" t="s">
        <v>1279</v>
      </c>
      <c r="I145" s="326">
        <v>7.0000000000000007E-2</v>
      </c>
      <c r="J145" s="327"/>
      <c r="K145" s="328"/>
      <c r="L145" s="329">
        <v>1.81816902522925E-3</v>
      </c>
      <c r="M145" s="308">
        <f t="shared" ca="1" si="32"/>
        <v>1.9165118234250301E-3</v>
      </c>
      <c r="N145" s="325"/>
      <c r="O145" s="325"/>
      <c r="P145" s="325"/>
      <c r="Q145" s="309"/>
      <c r="R145" s="345"/>
      <c r="S145" s="256"/>
      <c r="T145" s="344"/>
      <c r="U145" s="344"/>
      <c r="V145" s="344"/>
      <c r="W145" s="344"/>
      <c r="X145" s="344"/>
      <c r="Y145" s="360"/>
    </row>
    <row r="146" spans="1:25" s="239" customFormat="1" ht="13.8">
      <c r="A146" s="367" t="s">
        <v>994</v>
      </c>
      <c r="B146" s="285" t="s">
        <v>1290</v>
      </c>
      <c r="C146" s="286"/>
      <c r="D146" s="287">
        <f>G146*I146</f>
        <v>0</v>
      </c>
      <c r="E146" s="287"/>
      <c r="F146" s="282">
        <f t="shared" si="33"/>
        <v>0</v>
      </c>
      <c r="G146" s="288">
        <v>0</v>
      </c>
      <c r="H146" s="289" t="s">
        <v>1291</v>
      </c>
      <c r="I146" s="326">
        <v>45</v>
      </c>
      <c r="J146" s="327"/>
      <c r="K146" s="328"/>
      <c r="L146" s="329">
        <v>1.4004588363170699E-4</v>
      </c>
      <c r="M146" s="308">
        <f t="shared" ca="1" si="32"/>
        <v>0</v>
      </c>
      <c r="N146" s="325"/>
      <c r="O146" s="325"/>
      <c r="P146" s="325"/>
      <c r="Q146" s="309"/>
      <c r="R146" s="345"/>
      <c r="S146" s="256"/>
      <c r="T146" s="344"/>
      <c r="U146" s="344"/>
      <c r="V146" s="344"/>
      <c r="W146" s="344"/>
      <c r="X146" s="344"/>
      <c r="Y146" s="360"/>
    </row>
    <row r="147" spans="1:25" s="239" customFormat="1" ht="13.8">
      <c r="A147" s="284" t="s">
        <v>995</v>
      </c>
      <c r="B147" s="285" t="s">
        <v>1292</v>
      </c>
      <c r="C147" s="286">
        <f>G147*I147</f>
        <v>75.546000000000006</v>
      </c>
      <c r="D147" s="287"/>
      <c r="E147" s="287"/>
      <c r="F147" s="282">
        <f t="shared" si="33"/>
        <v>75.546000000000006</v>
      </c>
      <c r="G147" s="288">
        <f>G145</f>
        <v>12591</v>
      </c>
      <c r="H147" s="289" t="s">
        <v>1279</v>
      </c>
      <c r="I147" s="326">
        <v>6.0000000000000001E-3</v>
      </c>
      <c r="J147" s="327"/>
      <c r="K147" s="328"/>
      <c r="L147" s="329">
        <v>1.81816902522925E-4</v>
      </c>
      <c r="M147" s="308">
        <f t="shared" ca="1" si="32"/>
        <v>1.6427244200786E-4</v>
      </c>
      <c r="N147" s="325"/>
      <c r="O147" s="325"/>
      <c r="P147" s="325"/>
      <c r="Q147" s="309"/>
      <c r="R147" s="345"/>
      <c r="S147" s="256"/>
      <c r="T147" s="344"/>
      <c r="U147" s="344"/>
      <c r="V147" s="344"/>
      <c r="W147" s="344"/>
      <c r="X147" s="344"/>
      <c r="Y147" s="360"/>
    </row>
    <row r="148" spans="1:25" s="239" customFormat="1" ht="13.8">
      <c r="A148" s="367" t="s">
        <v>996</v>
      </c>
      <c r="B148" s="285" t="s">
        <v>1293</v>
      </c>
      <c r="C148" s="286">
        <f>G148*I148</f>
        <v>25.182000000000002</v>
      </c>
      <c r="D148" s="287"/>
      <c r="E148" s="287"/>
      <c r="F148" s="282">
        <f t="shared" si="33"/>
        <v>25.182000000000002</v>
      </c>
      <c r="G148" s="288">
        <f>G147</f>
        <v>12591</v>
      </c>
      <c r="H148" s="289" t="s">
        <v>1279</v>
      </c>
      <c r="I148" s="326">
        <v>2E-3</v>
      </c>
      <c r="J148" s="327"/>
      <c r="K148" s="328"/>
      <c r="L148" s="329">
        <v>6.0605634174308201E-5</v>
      </c>
      <c r="M148" s="308">
        <f t="shared" ca="1" si="32"/>
        <v>5.4757480669286598E-5</v>
      </c>
      <c r="N148" s="325"/>
      <c r="O148" s="325"/>
      <c r="P148" s="325"/>
      <c r="Q148" s="309"/>
      <c r="R148" s="345"/>
      <c r="S148" s="256"/>
      <c r="T148" s="344"/>
      <c r="U148" s="344"/>
      <c r="V148" s="344"/>
      <c r="W148" s="344"/>
      <c r="X148" s="344"/>
      <c r="Y148" s="360"/>
    </row>
    <row r="149" spans="1:25" s="244" customFormat="1" ht="13.8">
      <c r="A149" s="297" t="s">
        <v>1324</v>
      </c>
      <c r="B149" s="274" t="s">
        <v>1325</v>
      </c>
      <c r="C149" s="275">
        <f>SUM(C150:C160)</f>
        <v>7119.4070000000002</v>
      </c>
      <c r="D149" s="275">
        <f>SUM(D150:D160)</f>
        <v>0</v>
      </c>
      <c r="E149" s="275">
        <f>SUM(E150:E160)</f>
        <v>0</v>
      </c>
      <c r="F149" s="276">
        <f t="shared" si="33"/>
        <v>7119.4070000000002</v>
      </c>
      <c r="G149" s="392">
        <v>12591</v>
      </c>
      <c r="H149" s="278" t="s">
        <v>1279</v>
      </c>
      <c r="I149" s="318">
        <f>F149/G149</f>
        <v>0.56543618457628464</v>
      </c>
      <c r="J149" s="333"/>
      <c r="K149" s="334"/>
      <c r="L149" s="335"/>
      <c r="M149" s="322">
        <f t="shared" ca="1" si="32"/>
        <v>1.5480930473325501E-2</v>
      </c>
      <c r="N149" s="323"/>
      <c r="O149" s="323"/>
      <c r="P149" s="323"/>
      <c r="Q149" s="352"/>
      <c r="R149" s="353"/>
      <c r="S149" s="356" t="s">
        <v>1310</v>
      </c>
      <c r="T149" s="357">
        <f>T137*5</f>
        <v>302500</v>
      </c>
      <c r="U149" s="357"/>
      <c r="V149" s="357"/>
      <c r="W149" s="357"/>
      <c r="X149" s="357"/>
      <c r="Y149" s="365"/>
    </row>
    <row r="150" spans="1:25" s="238" customFormat="1" ht="13.8">
      <c r="A150" s="367" t="s">
        <v>325</v>
      </c>
      <c r="B150" s="280" t="str">
        <f>B138</f>
        <v>场平</v>
      </c>
      <c r="C150" s="281">
        <f>G150*I150</f>
        <v>257.31200000000001</v>
      </c>
      <c r="D150" s="281"/>
      <c r="E150" s="281"/>
      <c r="F150" s="282">
        <f t="shared" si="33"/>
        <v>257.31200000000001</v>
      </c>
      <c r="G150" s="288">
        <v>12865.6</v>
      </c>
      <c r="H150" s="260" t="str">
        <f>H149</f>
        <v>㎡</v>
      </c>
      <c r="I150" s="324">
        <f>I138</f>
        <v>0.02</v>
      </c>
      <c r="J150" s="331"/>
      <c r="K150" s="336"/>
      <c r="L150" s="332"/>
      <c r="M150" s="308">
        <f t="shared" ca="1" si="32"/>
        <v>5.5951699094493898E-4</v>
      </c>
      <c r="N150" s="325"/>
      <c r="O150" s="325"/>
      <c r="P150" s="325"/>
      <c r="Q150" s="309"/>
      <c r="R150" s="345"/>
      <c r="S150" s="343"/>
      <c r="T150" s="341"/>
      <c r="U150" s="341"/>
      <c r="V150" s="341"/>
      <c r="W150" s="341"/>
      <c r="X150" s="341"/>
      <c r="Y150" s="364"/>
    </row>
    <row r="151" spans="1:25" s="239" customFormat="1" ht="13.8">
      <c r="A151" s="284" t="s">
        <v>326</v>
      </c>
      <c r="B151" s="285" t="s">
        <v>1281</v>
      </c>
      <c r="C151" s="286">
        <f>G151*I151</f>
        <v>62.954999999999998</v>
      </c>
      <c r="D151" s="287"/>
      <c r="E151" s="287"/>
      <c r="F151" s="282">
        <f t="shared" si="33"/>
        <v>62.954999999999998</v>
      </c>
      <c r="G151" s="288">
        <f>G149</f>
        <v>12591</v>
      </c>
      <c r="H151" s="289" t="s">
        <v>1279</v>
      </c>
      <c r="I151" s="326">
        <v>5.0000000000000001E-3</v>
      </c>
      <c r="J151" s="327"/>
      <c r="K151" s="328"/>
      <c r="L151" s="329">
        <v>1.5151408543577E-4</v>
      </c>
      <c r="M151" s="308">
        <f t="shared" ca="1" si="32"/>
        <v>1.36893701673216E-4</v>
      </c>
      <c r="N151" s="325"/>
      <c r="O151" s="325"/>
      <c r="P151" s="325"/>
      <c r="Q151" s="309"/>
      <c r="R151" s="345"/>
      <c r="S151" s="256"/>
      <c r="T151" s="344"/>
      <c r="U151" s="344"/>
      <c r="V151" s="344"/>
      <c r="W151" s="344"/>
      <c r="X151" s="344"/>
      <c r="Y151" s="360"/>
    </row>
    <row r="152" spans="1:25" s="239" customFormat="1" ht="13.8">
      <c r="A152" s="367" t="s">
        <v>327</v>
      </c>
      <c r="B152" s="285" t="s">
        <v>1282</v>
      </c>
      <c r="C152" s="286">
        <f t="shared" ref="C152:C157" si="36">G152*I152</f>
        <v>88.137</v>
      </c>
      <c r="D152" s="287"/>
      <c r="E152" s="287"/>
      <c r="F152" s="282">
        <f t="shared" si="33"/>
        <v>88.137</v>
      </c>
      <c r="G152" s="288">
        <f t="shared" ref="G152:G157" si="37">G151</f>
        <v>12591</v>
      </c>
      <c r="H152" s="289" t="s">
        <v>1279</v>
      </c>
      <c r="I152" s="326">
        <v>7.0000000000000001E-3</v>
      </c>
      <c r="J152" s="327"/>
      <c r="K152" s="328"/>
      <c r="L152" s="329">
        <v>1.81816902522925E-4</v>
      </c>
      <c r="M152" s="308">
        <f t="shared" ca="1" si="32"/>
        <v>1.9165118234250301E-4</v>
      </c>
      <c r="N152" s="325"/>
      <c r="O152" s="325"/>
      <c r="P152" s="325"/>
      <c r="Q152" s="309"/>
      <c r="R152" s="345"/>
      <c r="S152" s="256"/>
      <c r="T152" s="344"/>
      <c r="U152" s="344"/>
      <c r="V152" s="344"/>
      <c r="W152" s="344"/>
      <c r="X152" s="344"/>
      <c r="Y152" s="360"/>
    </row>
    <row r="153" spans="1:25" s="239" customFormat="1" ht="13.8">
      <c r="A153" s="284" t="s">
        <v>328</v>
      </c>
      <c r="B153" s="285" t="s">
        <v>1283</v>
      </c>
      <c r="C153" s="286">
        <f t="shared" si="36"/>
        <v>3147.75</v>
      </c>
      <c r="D153" s="287"/>
      <c r="E153" s="287"/>
      <c r="F153" s="282">
        <f t="shared" si="33"/>
        <v>3147.75</v>
      </c>
      <c r="G153" s="288">
        <f t="shared" si="37"/>
        <v>12591</v>
      </c>
      <c r="H153" s="289" t="s">
        <v>1279</v>
      </c>
      <c r="I153" s="326">
        <v>0.25</v>
      </c>
      <c r="J153" s="327"/>
      <c r="K153" s="328"/>
      <c r="L153" s="329">
        <v>7.5757042717885196E-3</v>
      </c>
      <c r="M153" s="308">
        <f t="shared" ca="1" si="32"/>
        <v>6.8446850836608201E-3</v>
      </c>
      <c r="N153" s="325"/>
      <c r="O153" s="325"/>
      <c r="P153" s="325"/>
      <c r="Q153" s="309"/>
      <c r="R153" s="345"/>
      <c r="S153" s="256"/>
      <c r="T153" s="344"/>
      <c r="U153" s="344"/>
      <c r="V153" s="344"/>
      <c r="W153" s="344"/>
      <c r="X153" s="344"/>
      <c r="Y153" s="360"/>
    </row>
    <row r="154" spans="1:25" s="239" customFormat="1" ht="13.8">
      <c r="A154" s="367" t="s">
        <v>329</v>
      </c>
      <c r="B154" s="285" t="s">
        <v>1284</v>
      </c>
      <c r="C154" s="286">
        <f t="shared" si="36"/>
        <v>1888.6499999999999</v>
      </c>
      <c r="D154" s="287"/>
      <c r="E154" s="287"/>
      <c r="F154" s="282">
        <f t="shared" si="33"/>
        <v>1888.6499999999999</v>
      </c>
      <c r="G154" s="288">
        <f t="shared" si="37"/>
        <v>12591</v>
      </c>
      <c r="H154" s="289" t="s">
        <v>1279</v>
      </c>
      <c r="I154" s="326">
        <v>0.15</v>
      </c>
      <c r="J154" s="327"/>
      <c r="K154" s="328"/>
      <c r="L154" s="329">
        <v>4.5454225630731102E-3</v>
      </c>
      <c r="M154" s="308">
        <f t="shared" ca="1" si="32"/>
        <v>4.1068110501964903E-3</v>
      </c>
      <c r="N154" s="325"/>
      <c r="O154" s="325"/>
      <c r="P154" s="325"/>
      <c r="Q154" s="309"/>
      <c r="R154" s="345"/>
      <c r="S154" s="256"/>
      <c r="T154" s="344"/>
      <c r="U154" s="344"/>
      <c r="V154" s="344"/>
      <c r="W154" s="344"/>
      <c r="X154" s="344"/>
      <c r="Y154" s="360"/>
    </row>
    <row r="155" spans="1:25" s="239" customFormat="1" ht="13.8">
      <c r="A155" s="284" t="s">
        <v>330</v>
      </c>
      <c r="B155" s="285" t="s">
        <v>1285</v>
      </c>
      <c r="C155" s="286">
        <f t="shared" si="36"/>
        <v>188.86499999999998</v>
      </c>
      <c r="D155" s="287"/>
      <c r="E155" s="287"/>
      <c r="F155" s="282">
        <f t="shared" si="33"/>
        <v>188.86499999999998</v>
      </c>
      <c r="G155" s="288">
        <f t="shared" si="37"/>
        <v>12591</v>
      </c>
      <c r="H155" s="289" t="s">
        <v>1279</v>
      </c>
      <c r="I155" s="326">
        <v>1.4999999999999999E-2</v>
      </c>
      <c r="J155" s="327"/>
      <c r="K155" s="328"/>
      <c r="L155" s="329">
        <v>4.5454225630731099E-4</v>
      </c>
      <c r="M155" s="308">
        <f t="shared" ca="1" si="32"/>
        <v>4.1068110501964899E-4</v>
      </c>
      <c r="N155" s="325"/>
      <c r="O155" s="325"/>
      <c r="P155" s="325"/>
      <c r="Q155" s="309"/>
      <c r="R155" s="345"/>
      <c r="S155" s="256"/>
      <c r="T155" s="344"/>
      <c r="U155" s="344"/>
      <c r="V155" s="344"/>
      <c r="W155" s="344"/>
      <c r="X155" s="344"/>
      <c r="Y155" s="360"/>
    </row>
    <row r="156" spans="1:25" s="239" customFormat="1" ht="13.8">
      <c r="A156" s="367" t="s">
        <v>331</v>
      </c>
      <c r="B156" s="285" t="s">
        <v>1286</v>
      </c>
      <c r="C156" s="286">
        <f t="shared" si="36"/>
        <v>503.64</v>
      </c>
      <c r="D156" s="287"/>
      <c r="E156" s="287"/>
      <c r="F156" s="282">
        <f t="shared" si="33"/>
        <v>503.64</v>
      </c>
      <c r="G156" s="288">
        <f t="shared" si="37"/>
        <v>12591</v>
      </c>
      <c r="H156" s="289" t="s">
        <v>1279</v>
      </c>
      <c r="I156" s="326">
        <v>0.04</v>
      </c>
      <c r="J156" s="327"/>
      <c r="K156" s="328"/>
      <c r="L156" s="329">
        <v>1.21211268348616E-3</v>
      </c>
      <c r="M156" s="308">
        <f t="shared" ca="1" si="32"/>
        <v>1.0951496133857299E-3</v>
      </c>
      <c r="N156" s="325"/>
      <c r="O156" s="325"/>
      <c r="P156" s="325"/>
      <c r="Q156" s="309"/>
      <c r="R156" s="345"/>
      <c r="S156" s="256"/>
      <c r="T156" s="344"/>
      <c r="U156" s="344"/>
      <c r="V156" s="344"/>
      <c r="W156" s="344"/>
      <c r="X156" s="344"/>
      <c r="Y156" s="360"/>
    </row>
    <row r="157" spans="1:25" s="239" customFormat="1" ht="13.8">
      <c r="A157" s="284" t="s">
        <v>332</v>
      </c>
      <c r="B157" s="285" t="s">
        <v>1287</v>
      </c>
      <c r="C157" s="286">
        <f t="shared" si="36"/>
        <v>881.37000000000012</v>
      </c>
      <c r="D157" s="287"/>
      <c r="E157" s="287"/>
      <c r="F157" s="282">
        <f t="shared" si="33"/>
        <v>881.37000000000012</v>
      </c>
      <c r="G157" s="288">
        <f t="shared" si="37"/>
        <v>12591</v>
      </c>
      <c r="H157" s="289" t="s">
        <v>1279</v>
      </c>
      <c r="I157" s="326">
        <v>7.0000000000000007E-2</v>
      </c>
      <c r="J157" s="327"/>
      <c r="K157" s="328"/>
      <c r="L157" s="329">
        <v>1.81816902522925E-3</v>
      </c>
      <c r="M157" s="308">
        <f t="shared" ca="1" si="32"/>
        <v>1.9165118234250301E-3</v>
      </c>
      <c r="N157" s="325"/>
      <c r="O157" s="325"/>
      <c r="P157" s="325"/>
      <c r="Q157" s="309"/>
      <c r="R157" s="345"/>
      <c r="S157" s="256"/>
      <c r="T157" s="344"/>
      <c r="U157" s="344"/>
      <c r="V157" s="344"/>
      <c r="W157" s="344"/>
      <c r="X157" s="344"/>
      <c r="Y157" s="360"/>
    </row>
    <row r="158" spans="1:25" s="239" customFormat="1" ht="13.8">
      <c r="A158" s="367" t="s">
        <v>998</v>
      </c>
      <c r="B158" s="285" t="s">
        <v>1290</v>
      </c>
      <c r="C158" s="286"/>
      <c r="D158" s="287">
        <f>G158*I158</f>
        <v>0</v>
      </c>
      <c r="E158" s="287"/>
      <c r="F158" s="282">
        <f t="shared" si="33"/>
        <v>0</v>
      </c>
      <c r="G158" s="288">
        <v>0</v>
      </c>
      <c r="H158" s="289" t="s">
        <v>1291</v>
      </c>
      <c r="I158" s="326">
        <v>45</v>
      </c>
      <c r="J158" s="327"/>
      <c r="K158" s="328"/>
      <c r="L158" s="329">
        <v>1.4004588363170699E-4</v>
      </c>
      <c r="M158" s="308">
        <f t="shared" ca="1" si="32"/>
        <v>0</v>
      </c>
      <c r="N158" s="325"/>
      <c r="O158" s="325"/>
      <c r="P158" s="325"/>
      <c r="Q158" s="309"/>
      <c r="R158" s="345"/>
      <c r="S158" s="256"/>
      <c r="T158" s="344"/>
      <c r="U158" s="344"/>
      <c r="V158" s="344"/>
      <c r="W158" s="344"/>
      <c r="X158" s="344"/>
      <c r="Y158" s="360"/>
    </row>
    <row r="159" spans="1:25" s="239" customFormat="1" ht="13.8">
      <c r="A159" s="284" t="s">
        <v>999</v>
      </c>
      <c r="B159" s="285" t="s">
        <v>1292</v>
      </c>
      <c r="C159" s="286">
        <f>G159*I159</f>
        <v>75.546000000000006</v>
      </c>
      <c r="D159" s="287"/>
      <c r="E159" s="287"/>
      <c r="F159" s="282">
        <f t="shared" si="33"/>
        <v>75.546000000000006</v>
      </c>
      <c r="G159" s="288">
        <f>G157</f>
        <v>12591</v>
      </c>
      <c r="H159" s="289" t="s">
        <v>1279</v>
      </c>
      <c r="I159" s="326">
        <v>6.0000000000000001E-3</v>
      </c>
      <c r="J159" s="327"/>
      <c r="K159" s="328"/>
      <c r="L159" s="329">
        <v>1.81816902522925E-4</v>
      </c>
      <c r="M159" s="308">
        <f t="shared" ca="1" si="32"/>
        <v>1.6427244200786E-4</v>
      </c>
      <c r="N159" s="325"/>
      <c r="O159" s="325"/>
      <c r="P159" s="325"/>
      <c r="Q159" s="309"/>
      <c r="R159" s="345"/>
      <c r="S159" s="256"/>
      <c r="T159" s="344"/>
      <c r="U159" s="344"/>
      <c r="V159" s="344"/>
      <c r="W159" s="344"/>
      <c r="X159" s="344"/>
      <c r="Y159" s="360"/>
    </row>
    <row r="160" spans="1:25" s="239" customFormat="1" ht="13.8">
      <c r="A160" s="367" t="s">
        <v>1000</v>
      </c>
      <c r="B160" s="285" t="s">
        <v>1293</v>
      </c>
      <c r="C160" s="286">
        <f>G160*I160</f>
        <v>25.182000000000002</v>
      </c>
      <c r="D160" s="287"/>
      <c r="E160" s="287"/>
      <c r="F160" s="282">
        <f t="shared" si="33"/>
        <v>25.182000000000002</v>
      </c>
      <c r="G160" s="288">
        <f>G159</f>
        <v>12591</v>
      </c>
      <c r="H160" s="289" t="s">
        <v>1279</v>
      </c>
      <c r="I160" s="326">
        <v>2E-3</v>
      </c>
      <c r="J160" s="327"/>
      <c r="K160" s="328"/>
      <c r="L160" s="329">
        <v>6.0605634174308201E-5</v>
      </c>
      <c r="M160" s="308">
        <f t="shared" ca="1" si="32"/>
        <v>5.4757480669286598E-5</v>
      </c>
      <c r="N160" s="325"/>
      <c r="O160" s="325"/>
      <c r="P160" s="325"/>
      <c r="Q160" s="309"/>
      <c r="R160" s="345"/>
      <c r="S160" s="256"/>
      <c r="T160" s="344"/>
      <c r="U160" s="344"/>
      <c r="V160" s="344"/>
      <c r="W160" s="344"/>
      <c r="X160" s="344"/>
      <c r="Y160" s="360"/>
    </row>
    <row r="161" spans="1:25" s="244" customFormat="1" ht="13.8">
      <c r="A161" s="297" t="s">
        <v>1326</v>
      </c>
      <c r="B161" s="274" t="s">
        <v>1327</v>
      </c>
      <c r="C161" s="275">
        <f>SUM(C162:C172)</f>
        <v>5598.3440000000001</v>
      </c>
      <c r="D161" s="275">
        <f>SUM(D163:D172)</f>
        <v>0</v>
      </c>
      <c r="E161" s="275">
        <f>SUM(E163:E172)</f>
        <v>0</v>
      </c>
      <c r="F161" s="276">
        <f t="shared" si="33"/>
        <v>5598.3440000000001</v>
      </c>
      <c r="G161" s="392">
        <v>9908</v>
      </c>
      <c r="H161" s="278" t="s">
        <v>1279</v>
      </c>
      <c r="I161" s="318">
        <f>F161/G161</f>
        <v>0.56503270084779977</v>
      </c>
      <c r="J161" s="333"/>
      <c r="K161" s="334"/>
      <c r="L161" s="335"/>
      <c r="M161" s="322">
        <f t="shared" ca="1" si="32"/>
        <v>1.21734259931704E-2</v>
      </c>
      <c r="N161" s="323"/>
      <c r="O161" s="323"/>
      <c r="P161" s="323"/>
      <c r="Q161" s="352"/>
      <c r="R161" s="353"/>
      <c r="S161" s="356"/>
      <c r="T161" s="357">
        <f>T149*1000*100%/5/10000</f>
        <v>6050</v>
      </c>
      <c r="U161" s="357" t="s">
        <v>1314</v>
      </c>
      <c r="V161" s="357"/>
      <c r="W161" s="357"/>
      <c r="X161" s="357"/>
      <c r="Y161" s="365"/>
    </row>
    <row r="162" spans="1:25" s="238" customFormat="1" ht="13.8">
      <c r="A162" s="367" t="s">
        <v>183</v>
      </c>
      <c r="B162" s="280" t="str">
        <f>B150</f>
        <v>场平</v>
      </c>
      <c r="C162" s="281">
        <f>G162*I162</f>
        <v>198.48400000000001</v>
      </c>
      <c r="D162" s="281"/>
      <c r="E162" s="281"/>
      <c r="F162" s="282">
        <f t="shared" si="33"/>
        <v>198.48400000000001</v>
      </c>
      <c r="G162" s="288">
        <v>9924.2000000000007</v>
      </c>
      <c r="H162" s="260" t="str">
        <f>H161</f>
        <v>㎡</v>
      </c>
      <c r="I162" s="324">
        <f>I150</f>
        <v>0.02</v>
      </c>
      <c r="J162" s="331"/>
      <c r="K162" s="336"/>
      <c r="L162" s="332"/>
      <c r="M162" s="308">
        <f t="shared" ca="1" si="32"/>
        <v>4.3159732321351301E-4</v>
      </c>
      <c r="N162" s="325"/>
      <c r="O162" s="325"/>
      <c r="P162" s="325"/>
      <c r="Q162" s="309"/>
      <c r="R162" s="345"/>
      <c r="S162" s="343"/>
      <c r="T162" s="341"/>
      <c r="U162" s="341"/>
      <c r="V162" s="341"/>
      <c r="W162" s="341"/>
      <c r="X162" s="341"/>
      <c r="Y162" s="364"/>
    </row>
    <row r="163" spans="1:25" s="239" customFormat="1" ht="13.8">
      <c r="A163" s="284" t="s">
        <v>184</v>
      </c>
      <c r="B163" s="285" t="s">
        <v>1281</v>
      </c>
      <c r="C163" s="286">
        <f>G163*I163</f>
        <v>49.54</v>
      </c>
      <c r="D163" s="287"/>
      <c r="E163" s="287"/>
      <c r="F163" s="282">
        <f t="shared" ref="F163:F186" si="38">SUM(C163:E163)</f>
        <v>49.54</v>
      </c>
      <c r="G163" s="288">
        <f>G161</f>
        <v>9908</v>
      </c>
      <c r="H163" s="289" t="s">
        <v>1279</v>
      </c>
      <c r="I163" s="326">
        <v>5.0000000000000001E-3</v>
      </c>
      <c r="J163" s="327"/>
      <c r="K163" s="328"/>
      <c r="L163" s="329">
        <v>1.5151408543577E-4</v>
      </c>
      <c r="M163" s="308">
        <f t="shared" ca="1" si="32"/>
        <v>1.07723198806944E-4</v>
      </c>
      <c r="N163" s="325"/>
      <c r="O163" s="325"/>
      <c r="P163" s="325"/>
      <c r="Q163" s="309"/>
      <c r="R163" s="345"/>
      <c r="S163" s="256"/>
      <c r="T163" s="344"/>
      <c r="U163" s="344"/>
      <c r="V163" s="344"/>
      <c r="W163" s="344"/>
      <c r="X163" s="344"/>
      <c r="Y163" s="360"/>
    </row>
    <row r="164" spans="1:25" s="239" customFormat="1" ht="13.8">
      <c r="A164" s="367" t="s">
        <v>185</v>
      </c>
      <c r="B164" s="285" t="s">
        <v>1282</v>
      </c>
      <c r="C164" s="286">
        <f t="shared" ref="C164:C169" si="39">G164*I164</f>
        <v>69.355999999999995</v>
      </c>
      <c r="D164" s="287"/>
      <c r="E164" s="287"/>
      <c r="F164" s="282">
        <f t="shared" si="38"/>
        <v>69.355999999999995</v>
      </c>
      <c r="G164" s="288">
        <f t="shared" ref="G164:G169" si="40">G163</f>
        <v>9908</v>
      </c>
      <c r="H164" s="289" t="s">
        <v>1279</v>
      </c>
      <c r="I164" s="326">
        <v>7.0000000000000001E-3</v>
      </c>
      <c r="J164" s="327"/>
      <c r="K164" s="328"/>
      <c r="L164" s="329">
        <v>1.81816902522925E-4</v>
      </c>
      <c r="M164" s="308">
        <f t="shared" ca="1" si="32"/>
        <v>1.50812478329721E-4</v>
      </c>
      <c r="N164" s="325"/>
      <c r="O164" s="325"/>
      <c r="P164" s="325"/>
      <c r="Q164" s="309"/>
      <c r="R164" s="345"/>
      <c r="S164" s="256"/>
      <c r="T164" s="344"/>
      <c r="U164" s="344"/>
      <c r="V164" s="344"/>
      <c r="W164" s="344"/>
      <c r="X164" s="344"/>
      <c r="Y164" s="360"/>
    </row>
    <row r="165" spans="1:25" s="239" customFormat="1" ht="13.8">
      <c r="A165" s="284" t="s">
        <v>186</v>
      </c>
      <c r="B165" s="285" t="s">
        <v>1283</v>
      </c>
      <c r="C165" s="286">
        <f t="shared" si="39"/>
        <v>2477</v>
      </c>
      <c r="D165" s="287"/>
      <c r="E165" s="287"/>
      <c r="F165" s="282">
        <f t="shared" si="38"/>
        <v>2477</v>
      </c>
      <c r="G165" s="288">
        <f t="shared" si="40"/>
        <v>9908</v>
      </c>
      <c r="H165" s="289" t="s">
        <v>1279</v>
      </c>
      <c r="I165" s="326">
        <v>0.25</v>
      </c>
      <c r="J165" s="327"/>
      <c r="K165" s="328"/>
      <c r="L165" s="329">
        <v>7.5757042717885196E-3</v>
      </c>
      <c r="M165" s="308">
        <f t="shared" ca="1" si="32"/>
        <v>5.3861599403471801E-3</v>
      </c>
      <c r="N165" s="325"/>
      <c r="O165" s="325"/>
      <c r="P165" s="325"/>
      <c r="Q165" s="309"/>
      <c r="R165" s="345"/>
      <c r="S165" s="256"/>
      <c r="T165" s="344"/>
      <c r="U165" s="344"/>
      <c r="V165" s="344"/>
      <c r="W165" s="344"/>
      <c r="X165" s="344"/>
      <c r="Y165" s="360"/>
    </row>
    <row r="166" spans="1:25" s="239" customFormat="1" ht="13.8">
      <c r="A166" s="367" t="s">
        <v>187</v>
      </c>
      <c r="B166" s="285" t="s">
        <v>1284</v>
      </c>
      <c r="C166" s="286">
        <f t="shared" si="39"/>
        <v>1486.2</v>
      </c>
      <c r="D166" s="287"/>
      <c r="E166" s="287"/>
      <c r="F166" s="282">
        <f t="shared" si="38"/>
        <v>1486.2</v>
      </c>
      <c r="G166" s="288">
        <f t="shared" si="40"/>
        <v>9908</v>
      </c>
      <c r="H166" s="289" t="s">
        <v>1279</v>
      </c>
      <c r="I166" s="326">
        <v>0.15</v>
      </c>
      <c r="J166" s="327"/>
      <c r="K166" s="328"/>
      <c r="L166" s="329">
        <v>4.5454225630731102E-3</v>
      </c>
      <c r="M166" s="308">
        <f t="shared" ca="1" si="32"/>
        <v>3.2316959642083101E-3</v>
      </c>
      <c r="N166" s="325"/>
      <c r="O166" s="325"/>
      <c r="P166" s="325"/>
      <c r="Q166" s="309"/>
      <c r="R166" s="345"/>
      <c r="S166" s="256"/>
      <c r="T166" s="344"/>
      <c r="U166" s="344"/>
      <c r="V166" s="344"/>
      <c r="W166" s="344"/>
      <c r="X166" s="344"/>
      <c r="Y166" s="360"/>
    </row>
    <row r="167" spans="1:25" s="239" customFormat="1" ht="13.8">
      <c r="A167" s="284" t="s">
        <v>188</v>
      </c>
      <c r="B167" s="285" t="s">
        <v>1285</v>
      </c>
      <c r="C167" s="286">
        <f t="shared" si="39"/>
        <v>148.62</v>
      </c>
      <c r="D167" s="287"/>
      <c r="E167" s="287"/>
      <c r="F167" s="282">
        <f t="shared" si="38"/>
        <v>148.62</v>
      </c>
      <c r="G167" s="288">
        <f t="shared" si="40"/>
        <v>9908</v>
      </c>
      <c r="H167" s="289" t="s">
        <v>1279</v>
      </c>
      <c r="I167" s="326">
        <v>1.4999999999999999E-2</v>
      </c>
      <c r="J167" s="327"/>
      <c r="K167" s="328"/>
      <c r="L167" s="329">
        <v>4.5454225630731099E-4</v>
      </c>
      <c r="M167" s="308">
        <f t="shared" ca="1" si="32"/>
        <v>3.2316959642083101E-4</v>
      </c>
      <c r="N167" s="325"/>
      <c r="O167" s="325"/>
      <c r="P167" s="325"/>
      <c r="Q167" s="309"/>
      <c r="R167" s="345"/>
      <c r="S167" s="256"/>
      <c r="T167" s="344"/>
      <c r="U167" s="344"/>
      <c r="V167" s="344"/>
      <c r="W167" s="344"/>
      <c r="X167" s="344"/>
      <c r="Y167" s="360"/>
    </row>
    <row r="168" spans="1:25" s="239" customFormat="1" ht="13.8">
      <c r="A168" s="367" t="s">
        <v>189</v>
      </c>
      <c r="B168" s="285" t="s">
        <v>1286</v>
      </c>
      <c r="C168" s="286">
        <f t="shared" si="39"/>
        <v>396.32</v>
      </c>
      <c r="D168" s="287"/>
      <c r="E168" s="287"/>
      <c r="F168" s="282">
        <f t="shared" si="38"/>
        <v>396.32</v>
      </c>
      <c r="G168" s="288">
        <f t="shared" si="40"/>
        <v>9908</v>
      </c>
      <c r="H168" s="289" t="s">
        <v>1279</v>
      </c>
      <c r="I168" s="326">
        <v>0.04</v>
      </c>
      <c r="J168" s="327"/>
      <c r="K168" s="328"/>
      <c r="L168" s="329">
        <v>1.21211268348616E-3</v>
      </c>
      <c r="M168" s="308">
        <f t="shared" ref="M168:M199" ca="1" si="41">F168/$F$378*100%</f>
        <v>8.6178559045554904E-4</v>
      </c>
      <c r="N168" s="325"/>
      <c r="O168" s="325"/>
      <c r="P168" s="325"/>
      <c r="Q168" s="309"/>
      <c r="R168" s="345"/>
      <c r="S168" s="256"/>
      <c r="T168" s="344"/>
      <c r="U168" s="344"/>
      <c r="V168" s="344"/>
      <c r="W168" s="344"/>
      <c r="X168" s="344"/>
      <c r="Y168" s="360"/>
    </row>
    <row r="169" spans="1:25" s="239" customFormat="1" ht="13.8">
      <c r="A169" s="284" t="s">
        <v>190</v>
      </c>
      <c r="B169" s="285" t="s">
        <v>1287</v>
      </c>
      <c r="C169" s="286">
        <f t="shared" si="39"/>
        <v>693.56000000000006</v>
      </c>
      <c r="D169" s="287"/>
      <c r="E169" s="287"/>
      <c r="F169" s="282">
        <f t="shared" si="38"/>
        <v>693.56000000000006</v>
      </c>
      <c r="G169" s="288">
        <f t="shared" si="40"/>
        <v>9908</v>
      </c>
      <c r="H169" s="289" t="s">
        <v>1279</v>
      </c>
      <c r="I169" s="326">
        <v>7.0000000000000007E-2</v>
      </c>
      <c r="J169" s="327"/>
      <c r="K169" s="328"/>
      <c r="L169" s="329">
        <v>1.81816902522925E-3</v>
      </c>
      <c r="M169" s="308">
        <f t="shared" ca="1" si="41"/>
        <v>1.5081247832972101E-3</v>
      </c>
      <c r="N169" s="325"/>
      <c r="O169" s="325"/>
      <c r="P169" s="325"/>
      <c r="Q169" s="309"/>
      <c r="R169" s="345"/>
      <c r="S169" s="256"/>
      <c r="T169" s="344"/>
      <c r="U169" s="344"/>
      <c r="V169" s="344"/>
      <c r="W169" s="344"/>
      <c r="X169" s="344"/>
      <c r="Y169" s="360"/>
    </row>
    <row r="170" spans="1:25" s="239" customFormat="1" ht="13.8">
      <c r="A170" s="367" t="s">
        <v>1002</v>
      </c>
      <c r="B170" s="285" t="s">
        <v>1290</v>
      </c>
      <c r="C170" s="286"/>
      <c r="D170" s="287">
        <f>G170*I170</f>
        <v>0</v>
      </c>
      <c r="E170" s="287"/>
      <c r="F170" s="282">
        <f t="shared" si="38"/>
        <v>0</v>
      </c>
      <c r="G170" s="288">
        <v>0</v>
      </c>
      <c r="H170" s="289" t="s">
        <v>1291</v>
      </c>
      <c r="I170" s="326">
        <v>45</v>
      </c>
      <c r="J170" s="327"/>
      <c r="K170" s="328"/>
      <c r="L170" s="329">
        <v>1.4004588363170699E-4</v>
      </c>
      <c r="M170" s="308">
        <f t="shared" ca="1" si="41"/>
        <v>0</v>
      </c>
      <c r="N170" s="325"/>
      <c r="O170" s="325"/>
      <c r="P170" s="325"/>
      <c r="Q170" s="309"/>
      <c r="R170" s="345"/>
      <c r="S170" s="256"/>
      <c r="T170" s="344"/>
      <c r="U170" s="344"/>
      <c r="V170" s="344"/>
      <c r="W170" s="344"/>
      <c r="X170" s="344"/>
      <c r="Y170" s="360"/>
    </row>
    <row r="171" spans="1:25" s="239" customFormat="1" ht="13.8">
      <c r="A171" s="284" t="s">
        <v>1003</v>
      </c>
      <c r="B171" s="285" t="s">
        <v>1292</v>
      </c>
      <c r="C171" s="286">
        <f>G171*I171</f>
        <v>59.448</v>
      </c>
      <c r="D171" s="287"/>
      <c r="E171" s="287"/>
      <c r="F171" s="282">
        <f t="shared" si="38"/>
        <v>59.448</v>
      </c>
      <c r="G171" s="288">
        <f>G169</f>
        <v>9908</v>
      </c>
      <c r="H171" s="289" t="s">
        <v>1279</v>
      </c>
      <c r="I171" s="326">
        <v>6.0000000000000001E-3</v>
      </c>
      <c r="J171" s="327"/>
      <c r="K171" s="328"/>
      <c r="L171" s="329">
        <v>1.81816902522925E-4</v>
      </c>
      <c r="M171" s="308">
        <f t="shared" ca="1" si="41"/>
        <v>1.2926783856833201E-4</v>
      </c>
      <c r="N171" s="325"/>
      <c r="O171" s="325"/>
      <c r="P171" s="325"/>
      <c r="Q171" s="309"/>
      <c r="R171" s="345"/>
      <c r="S171" s="256"/>
      <c r="T171" s="344"/>
      <c r="U171" s="344"/>
      <c r="V171" s="344"/>
      <c r="W171" s="344"/>
      <c r="X171" s="344"/>
      <c r="Y171" s="360"/>
    </row>
    <row r="172" spans="1:25" s="239" customFormat="1" ht="13.8">
      <c r="A172" s="367" t="s">
        <v>1004</v>
      </c>
      <c r="B172" s="285" t="s">
        <v>1293</v>
      </c>
      <c r="C172" s="286">
        <f>G172*I172</f>
        <v>19.815999999999999</v>
      </c>
      <c r="D172" s="287"/>
      <c r="E172" s="287"/>
      <c r="F172" s="282">
        <f t="shared" si="38"/>
        <v>19.815999999999999</v>
      </c>
      <c r="G172" s="288">
        <f>G171</f>
        <v>9908</v>
      </c>
      <c r="H172" s="289" t="s">
        <v>1279</v>
      </c>
      <c r="I172" s="326">
        <v>2E-3</v>
      </c>
      <c r="J172" s="327"/>
      <c r="K172" s="328"/>
      <c r="L172" s="329">
        <v>6.0605634174308201E-5</v>
      </c>
      <c r="M172" s="308">
        <f t="shared" ca="1" si="41"/>
        <v>4.3089279522777497E-5</v>
      </c>
      <c r="N172" s="325"/>
      <c r="O172" s="325"/>
      <c r="P172" s="325"/>
      <c r="Q172" s="309"/>
      <c r="R172" s="345"/>
      <c r="S172" s="256"/>
      <c r="T172" s="344"/>
      <c r="U172" s="344"/>
      <c r="V172" s="344"/>
      <c r="W172" s="344"/>
      <c r="X172" s="344"/>
      <c r="Y172" s="360"/>
    </row>
    <row r="173" spans="1:25" s="244" customFormat="1" ht="13.8">
      <c r="A173" s="297" t="s">
        <v>1328</v>
      </c>
      <c r="B173" s="274" t="s">
        <v>1329</v>
      </c>
      <c r="C173" s="275">
        <f>SUM(C174:C184)</f>
        <v>6434.0110000000013</v>
      </c>
      <c r="D173" s="275">
        <f>SUM(D175:D184)</f>
        <v>0</v>
      </c>
      <c r="E173" s="275">
        <f>SUM(E175:E184)</f>
        <v>0</v>
      </c>
      <c r="F173" s="276">
        <f t="shared" si="38"/>
        <v>6434.0110000000013</v>
      </c>
      <c r="G173" s="392">
        <v>11387</v>
      </c>
      <c r="H173" s="278" t="s">
        <v>1279</v>
      </c>
      <c r="I173" s="318">
        <f>F173/G173</f>
        <v>0.56503126372178814</v>
      </c>
      <c r="J173" s="333"/>
      <c r="K173" s="334"/>
      <c r="L173" s="335"/>
      <c r="M173" s="322">
        <f t="shared" ca="1" si="41"/>
        <v>1.3990558055693599E-2</v>
      </c>
      <c r="N173" s="323"/>
      <c r="O173" s="323"/>
      <c r="P173" s="323"/>
      <c r="Q173" s="352"/>
      <c r="R173" s="353"/>
      <c r="S173" s="356"/>
      <c r="T173" s="357">
        <f>T161*6</f>
        <v>36300</v>
      </c>
      <c r="U173" s="357"/>
      <c r="V173" s="357"/>
      <c r="W173" s="357"/>
      <c r="X173" s="357"/>
      <c r="Y173" s="365"/>
    </row>
    <row r="174" spans="1:25" s="238" customFormat="1" ht="13.8">
      <c r="A174" s="367" t="s">
        <v>248</v>
      </c>
      <c r="B174" s="280" t="str">
        <f>B162</f>
        <v>场平</v>
      </c>
      <c r="C174" s="281">
        <f>G174*I174</f>
        <v>228.096</v>
      </c>
      <c r="D174" s="281"/>
      <c r="E174" s="281"/>
      <c r="F174" s="282">
        <f t="shared" si="38"/>
        <v>228.096</v>
      </c>
      <c r="G174" s="288">
        <v>11404.8</v>
      </c>
      <c r="H174" s="260" t="str">
        <f>H173</f>
        <v>㎡</v>
      </c>
      <c r="I174" s="324">
        <f>I162</f>
        <v>0.02</v>
      </c>
      <c r="J174" s="331"/>
      <c r="K174" s="336"/>
      <c r="L174" s="332"/>
      <c r="M174" s="308">
        <f t="shared" ca="1" si="41"/>
        <v>4.9598770195939895E-4</v>
      </c>
      <c r="N174" s="325"/>
      <c r="O174" s="325"/>
      <c r="P174" s="325"/>
      <c r="Q174" s="309"/>
      <c r="R174" s="345"/>
      <c r="S174" s="343"/>
      <c r="T174" s="341"/>
      <c r="U174" s="341"/>
      <c r="V174" s="341"/>
      <c r="W174" s="341"/>
      <c r="X174" s="341"/>
      <c r="Y174" s="364"/>
    </row>
    <row r="175" spans="1:25" s="239" customFormat="1" ht="13.8">
      <c r="A175" s="284" t="s">
        <v>249</v>
      </c>
      <c r="B175" s="285" t="s">
        <v>1281</v>
      </c>
      <c r="C175" s="286">
        <f>G175*I175</f>
        <v>56.935000000000002</v>
      </c>
      <c r="D175" s="287"/>
      <c r="E175" s="287"/>
      <c r="F175" s="282">
        <f t="shared" si="38"/>
        <v>56.935000000000002</v>
      </c>
      <c r="G175" s="288">
        <f>G173</f>
        <v>11387</v>
      </c>
      <c r="H175" s="289" t="s">
        <v>1279</v>
      </c>
      <c r="I175" s="326">
        <v>5.0000000000000001E-3</v>
      </c>
      <c r="J175" s="327"/>
      <c r="K175" s="328"/>
      <c r="L175" s="329">
        <v>1.5151408543577E-4</v>
      </c>
      <c r="M175" s="308">
        <f t="shared" ca="1" si="41"/>
        <v>1.2380339774068099E-4</v>
      </c>
      <c r="N175" s="325"/>
      <c r="O175" s="325"/>
      <c r="P175" s="325"/>
      <c r="Q175" s="309"/>
      <c r="R175" s="345"/>
      <c r="S175" s="256"/>
      <c r="T175" s="344"/>
      <c r="U175" s="344"/>
      <c r="V175" s="344"/>
      <c r="W175" s="344"/>
      <c r="X175" s="344"/>
      <c r="Y175" s="360"/>
    </row>
    <row r="176" spans="1:25" s="239" customFormat="1" ht="13.8">
      <c r="A176" s="367" t="s">
        <v>250</v>
      </c>
      <c r="B176" s="285" t="s">
        <v>1282</v>
      </c>
      <c r="C176" s="286">
        <f t="shared" ref="C176:C181" si="42">G176*I176</f>
        <v>79.709000000000003</v>
      </c>
      <c r="D176" s="287"/>
      <c r="E176" s="287"/>
      <c r="F176" s="282">
        <f t="shared" si="38"/>
        <v>79.709000000000003</v>
      </c>
      <c r="G176" s="288">
        <f t="shared" ref="G176:G181" si="43">G175</f>
        <v>11387</v>
      </c>
      <c r="H176" s="289" t="s">
        <v>1279</v>
      </c>
      <c r="I176" s="326">
        <v>7.0000000000000001E-3</v>
      </c>
      <c r="J176" s="327"/>
      <c r="K176" s="328"/>
      <c r="L176" s="329">
        <v>1.81816902522925E-4</v>
      </c>
      <c r="M176" s="308">
        <f t="shared" ca="1" si="41"/>
        <v>1.7332475683695301E-4</v>
      </c>
      <c r="N176" s="325"/>
      <c r="O176" s="325"/>
      <c r="P176" s="325"/>
      <c r="Q176" s="309"/>
      <c r="R176" s="345"/>
      <c r="S176" s="256"/>
      <c r="T176" s="344"/>
      <c r="U176" s="344"/>
      <c r="V176" s="344"/>
      <c r="W176" s="344"/>
      <c r="X176" s="344"/>
      <c r="Y176" s="360"/>
    </row>
    <row r="177" spans="1:25" s="239" customFormat="1" ht="13.8">
      <c r="A177" s="284" t="s">
        <v>251</v>
      </c>
      <c r="B177" s="285" t="s">
        <v>1283</v>
      </c>
      <c r="C177" s="286">
        <f t="shared" si="42"/>
        <v>2846.75</v>
      </c>
      <c r="D177" s="287"/>
      <c r="E177" s="287"/>
      <c r="F177" s="282">
        <f t="shared" si="38"/>
        <v>2846.75</v>
      </c>
      <c r="G177" s="288">
        <f t="shared" si="43"/>
        <v>11387</v>
      </c>
      <c r="H177" s="289" t="s">
        <v>1279</v>
      </c>
      <c r="I177" s="326">
        <v>0.25</v>
      </c>
      <c r="J177" s="327"/>
      <c r="K177" s="328"/>
      <c r="L177" s="329">
        <v>7.5757042717885196E-3</v>
      </c>
      <c r="M177" s="308">
        <f t="shared" ca="1" si="41"/>
        <v>6.1901698870340501E-3</v>
      </c>
      <c r="N177" s="325"/>
      <c r="O177" s="325"/>
      <c r="P177" s="325"/>
      <c r="Q177" s="309"/>
      <c r="R177" s="345"/>
      <c r="S177" s="256"/>
      <c r="T177" s="344"/>
      <c r="U177" s="344"/>
      <c r="V177" s="344"/>
      <c r="W177" s="344"/>
      <c r="X177" s="344"/>
      <c r="Y177" s="360"/>
    </row>
    <row r="178" spans="1:25" s="239" customFormat="1" ht="13.8">
      <c r="A178" s="367" t="s">
        <v>252</v>
      </c>
      <c r="B178" s="285" t="s">
        <v>1284</v>
      </c>
      <c r="C178" s="286">
        <f t="shared" si="42"/>
        <v>1708.05</v>
      </c>
      <c r="D178" s="287"/>
      <c r="E178" s="287"/>
      <c r="F178" s="282">
        <f t="shared" si="38"/>
        <v>1708.05</v>
      </c>
      <c r="G178" s="288">
        <f t="shared" si="43"/>
        <v>11387</v>
      </c>
      <c r="H178" s="289" t="s">
        <v>1279</v>
      </c>
      <c r="I178" s="326">
        <v>0.15</v>
      </c>
      <c r="J178" s="327"/>
      <c r="K178" s="328"/>
      <c r="L178" s="329">
        <v>4.5454225630731102E-3</v>
      </c>
      <c r="M178" s="308">
        <f t="shared" ca="1" si="41"/>
        <v>3.7141019322204298E-3</v>
      </c>
      <c r="N178" s="325"/>
      <c r="O178" s="325"/>
      <c r="P178" s="325"/>
      <c r="Q178" s="309"/>
      <c r="R178" s="345"/>
      <c r="S178" s="256"/>
      <c r="T178" s="344"/>
      <c r="U178" s="344"/>
      <c r="V178" s="344"/>
      <c r="W178" s="344"/>
      <c r="X178" s="344"/>
      <c r="Y178" s="360"/>
    </row>
    <row r="179" spans="1:25" s="239" customFormat="1" ht="13.8">
      <c r="A179" s="284" t="s">
        <v>253</v>
      </c>
      <c r="B179" s="285" t="s">
        <v>1285</v>
      </c>
      <c r="C179" s="286">
        <f t="shared" si="42"/>
        <v>170.80500000000001</v>
      </c>
      <c r="D179" s="287"/>
      <c r="E179" s="287"/>
      <c r="F179" s="282">
        <f t="shared" si="38"/>
        <v>170.80500000000001</v>
      </c>
      <c r="G179" s="288">
        <f t="shared" si="43"/>
        <v>11387</v>
      </c>
      <c r="H179" s="289" t="s">
        <v>1279</v>
      </c>
      <c r="I179" s="326">
        <v>1.4999999999999999E-2</v>
      </c>
      <c r="J179" s="327"/>
      <c r="K179" s="328"/>
      <c r="L179" s="329">
        <v>4.5454225630731099E-4</v>
      </c>
      <c r="M179" s="308">
        <f t="shared" ca="1" si="41"/>
        <v>3.7141019322204299E-4</v>
      </c>
      <c r="N179" s="325"/>
      <c r="O179" s="325"/>
      <c r="P179" s="325"/>
      <c r="Q179" s="309"/>
      <c r="R179" s="345"/>
      <c r="S179" s="256"/>
      <c r="T179" s="344"/>
      <c r="U179" s="344"/>
      <c r="V179" s="344"/>
      <c r="W179" s="344"/>
      <c r="X179" s="344"/>
      <c r="Y179" s="360"/>
    </row>
    <row r="180" spans="1:25" s="239" customFormat="1" ht="13.8">
      <c r="A180" s="367" t="s">
        <v>254</v>
      </c>
      <c r="B180" s="285" t="s">
        <v>1286</v>
      </c>
      <c r="C180" s="286">
        <f t="shared" si="42"/>
        <v>455.48</v>
      </c>
      <c r="D180" s="287"/>
      <c r="E180" s="287"/>
      <c r="F180" s="282">
        <f t="shared" si="38"/>
        <v>455.48</v>
      </c>
      <c r="G180" s="288">
        <f t="shared" si="43"/>
        <v>11387</v>
      </c>
      <c r="H180" s="289" t="s">
        <v>1279</v>
      </c>
      <c r="I180" s="326">
        <v>0.04</v>
      </c>
      <c r="J180" s="327"/>
      <c r="K180" s="328"/>
      <c r="L180" s="329">
        <v>1.21211268348616E-3</v>
      </c>
      <c r="M180" s="308">
        <f t="shared" ca="1" si="41"/>
        <v>9.904271819254479E-4</v>
      </c>
      <c r="N180" s="325"/>
      <c r="O180" s="325"/>
      <c r="P180" s="325"/>
      <c r="Q180" s="309"/>
      <c r="R180" s="345"/>
      <c r="S180" s="256"/>
      <c r="T180" s="344"/>
      <c r="U180" s="344"/>
      <c r="V180" s="344"/>
      <c r="W180" s="344"/>
      <c r="X180" s="344"/>
      <c r="Y180" s="360"/>
    </row>
    <row r="181" spans="1:25" s="239" customFormat="1" ht="13.8">
      <c r="A181" s="284" t="s">
        <v>255</v>
      </c>
      <c r="B181" s="285" t="s">
        <v>1287</v>
      </c>
      <c r="C181" s="286">
        <f t="shared" si="42"/>
        <v>797.09</v>
      </c>
      <c r="D181" s="287"/>
      <c r="E181" s="287"/>
      <c r="F181" s="282">
        <f t="shared" si="38"/>
        <v>797.09</v>
      </c>
      <c r="G181" s="288">
        <f t="shared" si="43"/>
        <v>11387</v>
      </c>
      <c r="H181" s="289" t="s">
        <v>1279</v>
      </c>
      <c r="I181" s="326">
        <v>7.0000000000000007E-2</v>
      </c>
      <c r="J181" s="327"/>
      <c r="K181" s="328"/>
      <c r="L181" s="329">
        <v>1.81816902522925E-3</v>
      </c>
      <c r="M181" s="308">
        <f t="shared" ca="1" si="41"/>
        <v>1.7332475683695301E-3</v>
      </c>
      <c r="N181" s="325"/>
      <c r="O181" s="325"/>
      <c r="P181" s="325"/>
      <c r="Q181" s="309"/>
      <c r="R181" s="345"/>
      <c r="S181" s="256"/>
      <c r="T181" s="344"/>
      <c r="U181" s="344"/>
      <c r="V181" s="344"/>
      <c r="W181" s="344"/>
      <c r="X181" s="344"/>
      <c r="Y181" s="360"/>
    </row>
    <row r="182" spans="1:25" s="239" customFormat="1" ht="13.8">
      <c r="A182" s="367" t="s">
        <v>1006</v>
      </c>
      <c r="B182" s="285" t="s">
        <v>1290</v>
      </c>
      <c r="C182" s="286"/>
      <c r="D182" s="287">
        <f>G182*I182</f>
        <v>0</v>
      </c>
      <c r="E182" s="287"/>
      <c r="F182" s="282">
        <f t="shared" si="38"/>
        <v>0</v>
      </c>
      <c r="G182" s="288">
        <v>0</v>
      </c>
      <c r="H182" s="289" t="s">
        <v>1291</v>
      </c>
      <c r="I182" s="326">
        <v>45</v>
      </c>
      <c r="J182" s="327"/>
      <c r="K182" s="328"/>
      <c r="L182" s="329">
        <v>1.4004588363170699E-4</v>
      </c>
      <c r="M182" s="308">
        <f t="shared" ca="1" si="41"/>
        <v>0</v>
      </c>
      <c r="N182" s="325"/>
      <c r="O182" s="325"/>
      <c r="P182" s="325"/>
      <c r="Q182" s="309"/>
      <c r="R182" s="345"/>
      <c r="S182" s="256"/>
      <c r="T182" s="344"/>
      <c r="U182" s="344"/>
      <c r="V182" s="344"/>
      <c r="W182" s="344"/>
      <c r="X182" s="344"/>
      <c r="Y182" s="360"/>
    </row>
    <row r="183" spans="1:25" s="239" customFormat="1" ht="13.8">
      <c r="A183" s="284" t="s">
        <v>1007</v>
      </c>
      <c r="B183" s="285" t="s">
        <v>1292</v>
      </c>
      <c r="C183" s="286">
        <f>G183*I183</f>
        <v>68.322000000000003</v>
      </c>
      <c r="D183" s="287"/>
      <c r="E183" s="287"/>
      <c r="F183" s="282">
        <f t="shared" si="38"/>
        <v>68.322000000000003</v>
      </c>
      <c r="G183" s="288">
        <f>G181</f>
        <v>11387</v>
      </c>
      <c r="H183" s="289" t="s">
        <v>1279</v>
      </c>
      <c r="I183" s="326">
        <v>6.0000000000000001E-3</v>
      </c>
      <c r="J183" s="327"/>
      <c r="K183" s="328"/>
      <c r="L183" s="329">
        <v>1.81816902522925E-4</v>
      </c>
      <c r="M183" s="308">
        <f t="shared" ca="1" si="41"/>
        <v>1.4856407728881701E-4</v>
      </c>
      <c r="N183" s="325"/>
      <c r="O183" s="325"/>
      <c r="P183" s="325"/>
      <c r="Q183" s="309"/>
      <c r="R183" s="345"/>
      <c r="S183" s="256"/>
      <c r="T183" s="344"/>
      <c r="U183" s="344"/>
      <c r="V183" s="344"/>
      <c r="W183" s="344"/>
      <c r="X183" s="344"/>
      <c r="Y183" s="360"/>
    </row>
    <row r="184" spans="1:25" s="239" customFormat="1" ht="13.8">
      <c r="A184" s="367" t="s">
        <v>1008</v>
      </c>
      <c r="B184" s="285" t="s">
        <v>1293</v>
      </c>
      <c r="C184" s="286">
        <f>G184*I184</f>
        <v>22.774000000000001</v>
      </c>
      <c r="D184" s="287"/>
      <c r="E184" s="287"/>
      <c r="F184" s="282">
        <f t="shared" si="38"/>
        <v>22.774000000000001</v>
      </c>
      <c r="G184" s="288">
        <f>G183</f>
        <v>11387</v>
      </c>
      <c r="H184" s="289" t="s">
        <v>1279</v>
      </c>
      <c r="I184" s="326">
        <v>2E-3</v>
      </c>
      <c r="J184" s="327"/>
      <c r="K184" s="328"/>
      <c r="L184" s="329">
        <v>6.0605634174308201E-5</v>
      </c>
      <c r="M184" s="308">
        <f t="shared" ca="1" si="41"/>
        <v>4.95213590962724E-5</v>
      </c>
      <c r="N184" s="325"/>
      <c r="O184" s="325"/>
      <c r="P184" s="325"/>
      <c r="Q184" s="309"/>
      <c r="R184" s="345"/>
      <c r="S184" s="256"/>
      <c r="T184" s="344"/>
      <c r="U184" s="344"/>
      <c r="V184" s="344"/>
      <c r="W184" s="344"/>
      <c r="X184" s="344"/>
      <c r="Y184" s="360"/>
    </row>
    <row r="185" spans="1:25" s="244" customFormat="1" ht="13.8">
      <c r="A185" s="297" t="s">
        <v>1330</v>
      </c>
      <c r="B185" s="274" t="s">
        <v>1331</v>
      </c>
      <c r="C185" s="275">
        <f>SUM(C186:C196)</f>
        <v>6434.0110000000013</v>
      </c>
      <c r="D185" s="275">
        <f>SUM(D187:D196)</f>
        <v>0</v>
      </c>
      <c r="E185" s="275">
        <f>SUM(E187:E196)</f>
        <v>0</v>
      </c>
      <c r="F185" s="276">
        <f t="shared" si="38"/>
        <v>6434.0110000000013</v>
      </c>
      <c r="G185" s="392">
        <v>11387</v>
      </c>
      <c r="H185" s="278" t="s">
        <v>1279</v>
      </c>
      <c r="I185" s="318">
        <f>F185/G185</f>
        <v>0.56503126372178814</v>
      </c>
      <c r="J185" s="333"/>
      <c r="K185" s="334"/>
      <c r="L185" s="335"/>
      <c r="M185" s="322">
        <f t="shared" ca="1" si="41"/>
        <v>1.3990558055693599E-2</v>
      </c>
      <c r="N185" s="323"/>
      <c r="O185" s="323"/>
      <c r="P185" s="323"/>
      <c r="Q185" s="352"/>
      <c r="R185" s="353"/>
      <c r="S185" s="356"/>
      <c r="T185" s="357"/>
      <c r="U185" s="357">
        <f>1200*360</f>
        <v>432000</v>
      </c>
      <c r="V185" s="357"/>
      <c r="W185" s="357"/>
      <c r="X185" s="357"/>
      <c r="Y185" s="365"/>
    </row>
    <row r="186" spans="1:25" s="238" customFormat="1" ht="13.8">
      <c r="A186" s="367" t="s">
        <v>230</v>
      </c>
      <c r="B186" s="280" t="str">
        <f>B174</f>
        <v>场平</v>
      </c>
      <c r="C186" s="281">
        <f>G186*I186</f>
        <v>228.096</v>
      </c>
      <c r="D186" s="281"/>
      <c r="E186" s="281"/>
      <c r="F186" s="282">
        <f t="shared" si="38"/>
        <v>228.096</v>
      </c>
      <c r="G186" s="288">
        <v>11404.8</v>
      </c>
      <c r="H186" s="260" t="str">
        <f>H185</f>
        <v>㎡</v>
      </c>
      <c r="I186" s="324">
        <f>I174</f>
        <v>0.02</v>
      </c>
      <c r="J186" s="331"/>
      <c r="K186" s="336"/>
      <c r="L186" s="332"/>
      <c r="M186" s="308">
        <f t="shared" ca="1" si="41"/>
        <v>4.9598770195939895E-4</v>
      </c>
      <c r="N186" s="325"/>
      <c r="O186" s="325"/>
      <c r="P186" s="325"/>
      <c r="Q186" s="309"/>
      <c r="R186" s="345"/>
      <c r="S186" s="343"/>
      <c r="T186" s="341"/>
      <c r="U186" s="341"/>
      <c r="V186" s="341"/>
      <c r="W186" s="341"/>
      <c r="X186" s="341"/>
      <c r="Y186" s="364"/>
    </row>
    <row r="187" spans="1:25" s="239" customFormat="1" ht="13.8">
      <c r="A187" s="284" t="s">
        <v>231</v>
      </c>
      <c r="B187" s="285" t="s">
        <v>1281</v>
      </c>
      <c r="C187" s="286">
        <f>G187*I187</f>
        <v>56.935000000000002</v>
      </c>
      <c r="D187" s="287"/>
      <c r="E187" s="287"/>
      <c r="F187" s="282">
        <f t="shared" ref="F187:F212" si="44">SUM(C187:E187)</f>
        <v>56.935000000000002</v>
      </c>
      <c r="G187" s="288">
        <f>G185</f>
        <v>11387</v>
      </c>
      <c r="H187" s="289" t="s">
        <v>1279</v>
      </c>
      <c r="I187" s="326">
        <v>5.0000000000000001E-3</v>
      </c>
      <c r="J187" s="327"/>
      <c r="K187" s="328"/>
      <c r="L187" s="329">
        <v>1.5151408543577E-4</v>
      </c>
      <c r="M187" s="308">
        <f t="shared" ca="1" si="41"/>
        <v>1.2380339774068099E-4</v>
      </c>
      <c r="N187" s="325"/>
      <c r="O187" s="325"/>
      <c r="P187" s="325"/>
      <c r="Q187" s="309"/>
      <c r="R187" s="345"/>
      <c r="S187" s="256"/>
      <c r="T187" s="344"/>
      <c r="U187" s="344"/>
      <c r="V187" s="344"/>
      <c r="W187" s="344"/>
      <c r="X187" s="344"/>
      <c r="Y187" s="360"/>
    </row>
    <row r="188" spans="1:25" s="239" customFormat="1" ht="13.8">
      <c r="A188" s="367" t="s">
        <v>232</v>
      </c>
      <c r="B188" s="285" t="s">
        <v>1282</v>
      </c>
      <c r="C188" s="286">
        <f t="shared" ref="C188:C193" si="45">G188*I188</f>
        <v>79.709000000000003</v>
      </c>
      <c r="D188" s="287"/>
      <c r="E188" s="287"/>
      <c r="F188" s="282">
        <f t="shared" si="44"/>
        <v>79.709000000000003</v>
      </c>
      <c r="G188" s="288">
        <f t="shared" ref="G188:G193" si="46">G187</f>
        <v>11387</v>
      </c>
      <c r="H188" s="289" t="s">
        <v>1279</v>
      </c>
      <c r="I188" s="326">
        <v>7.0000000000000001E-3</v>
      </c>
      <c r="J188" s="327"/>
      <c r="K188" s="328"/>
      <c r="L188" s="329">
        <v>1.81816902522925E-4</v>
      </c>
      <c r="M188" s="308">
        <f t="shared" ca="1" si="41"/>
        <v>1.7332475683695301E-4</v>
      </c>
      <c r="N188" s="325"/>
      <c r="O188" s="325"/>
      <c r="P188" s="325"/>
      <c r="Q188" s="309"/>
      <c r="R188" s="345"/>
      <c r="S188" s="256"/>
      <c r="T188" s="344"/>
      <c r="U188" s="344"/>
      <c r="V188" s="344"/>
      <c r="W188" s="344"/>
      <c r="X188" s="344"/>
      <c r="Y188" s="360"/>
    </row>
    <row r="189" spans="1:25" s="239" customFormat="1" ht="13.8">
      <c r="A189" s="284" t="s">
        <v>233</v>
      </c>
      <c r="B189" s="285" t="s">
        <v>1283</v>
      </c>
      <c r="C189" s="286">
        <f t="shared" si="45"/>
        <v>2846.75</v>
      </c>
      <c r="D189" s="287"/>
      <c r="E189" s="287"/>
      <c r="F189" s="282">
        <f t="shared" si="44"/>
        <v>2846.75</v>
      </c>
      <c r="G189" s="288">
        <f t="shared" si="46"/>
        <v>11387</v>
      </c>
      <c r="H189" s="289" t="s">
        <v>1279</v>
      </c>
      <c r="I189" s="326">
        <v>0.25</v>
      </c>
      <c r="J189" s="327"/>
      <c r="K189" s="328"/>
      <c r="L189" s="329">
        <v>7.5757042717885196E-3</v>
      </c>
      <c r="M189" s="308">
        <f t="shared" ca="1" si="41"/>
        <v>6.1901698870340501E-3</v>
      </c>
      <c r="N189" s="325"/>
      <c r="O189" s="325"/>
      <c r="P189" s="325"/>
      <c r="Q189" s="309"/>
      <c r="R189" s="345"/>
      <c r="S189" s="256"/>
      <c r="T189" s="344"/>
      <c r="U189" s="344"/>
      <c r="V189" s="344"/>
      <c r="W189" s="344"/>
      <c r="X189" s="344"/>
      <c r="Y189" s="360"/>
    </row>
    <row r="190" spans="1:25" s="239" customFormat="1" ht="13.8">
      <c r="A190" s="367" t="s">
        <v>234</v>
      </c>
      <c r="B190" s="285" t="s">
        <v>1284</v>
      </c>
      <c r="C190" s="286">
        <f t="shared" si="45"/>
        <v>1708.05</v>
      </c>
      <c r="D190" s="287"/>
      <c r="E190" s="287"/>
      <c r="F190" s="282">
        <f t="shared" si="44"/>
        <v>1708.05</v>
      </c>
      <c r="G190" s="288">
        <f t="shared" si="46"/>
        <v>11387</v>
      </c>
      <c r="H190" s="289" t="s">
        <v>1279</v>
      </c>
      <c r="I190" s="326">
        <v>0.15</v>
      </c>
      <c r="J190" s="327"/>
      <c r="K190" s="328"/>
      <c r="L190" s="329">
        <v>4.5454225630731102E-3</v>
      </c>
      <c r="M190" s="308">
        <f t="shared" ca="1" si="41"/>
        <v>3.7141019322204298E-3</v>
      </c>
      <c r="N190" s="325"/>
      <c r="O190" s="325"/>
      <c r="P190" s="325"/>
      <c r="Q190" s="309"/>
      <c r="R190" s="345"/>
      <c r="S190" s="256"/>
      <c r="T190" s="344"/>
      <c r="U190" s="344"/>
      <c r="V190" s="344"/>
      <c r="W190" s="344"/>
      <c r="X190" s="344"/>
      <c r="Y190" s="360"/>
    </row>
    <row r="191" spans="1:25" s="239" customFormat="1" ht="13.8">
      <c r="A191" s="284" t="s">
        <v>235</v>
      </c>
      <c r="B191" s="285" t="s">
        <v>1285</v>
      </c>
      <c r="C191" s="286">
        <f t="shared" si="45"/>
        <v>170.80500000000001</v>
      </c>
      <c r="D191" s="287"/>
      <c r="E191" s="287"/>
      <c r="F191" s="282">
        <f t="shared" si="44"/>
        <v>170.80500000000001</v>
      </c>
      <c r="G191" s="288">
        <f t="shared" si="46"/>
        <v>11387</v>
      </c>
      <c r="H191" s="289" t="s">
        <v>1279</v>
      </c>
      <c r="I191" s="326">
        <v>1.4999999999999999E-2</v>
      </c>
      <c r="J191" s="327"/>
      <c r="K191" s="328"/>
      <c r="L191" s="329">
        <v>4.5454225630731099E-4</v>
      </c>
      <c r="M191" s="308">
        <f t="shared" ca="1" si="41"/>
        <v>3.7141019322204299E-4</v>
      </c>
      <c r="N191" s="325"/>
      <c r="O191" s="325"/>
      <c r="P191" s="325"/>
      <c r="Q191" s="309"/>
      <c r="R191" s="345"/>
      <c r="S191" s="256"/>
      <c r="T191" s="344"/>
      <c r="U191" s="344"/>
      <c r="V191" s="344"/>
      <c r="W191" s="344"/>
      <c r="X191" s="344"/>
      <c r="Y191" s="360"/>
    </row>
    <row r="192" spans="1:25" s="239" customFormat="1" ht="13.8">
      <c r="A192" s="367" t="s">
        <v>236</v>
      </c>
      <c r="B192" s="285" t="s">
        <v>1286</v>
      </c>
      <c r="C192" s="286">
        <f t="shared" si="45"/>
        <v>455.48</v>
      </c>
      <c r="D192" s="287"/>
      <c r="E192" s="287"/>
      <c r="F192" s="282">
        <f t="shared" si="44"/>
        <v>455.48</v>
      </c>
      <c r="G192" s="288">
        <f t="shared" si="46"/>
        <v>11387</v>
      </c>
      <c r="H192" s="289" t="s">
        <v>1279</v>
      </c>
      <c r="I192" s="326">
        <v>0.04</v>
      </c>
      <c r="J192" s="327"/>
      <c r="K192" s="328"/>
      <c r="L192" s="329">
        <v>1.21211268348616E-3</v>
      </c>
      <c r="M192" s="308">
        <f t="shared" ca="1" si="41"/>
        <v>9.904271819254479E-4</v>
      </c>
      <c r="N192" s="325"/>
      <c r="O192" s="325"/>
      <c r="P192" s="325"/>
      <c r="Q192" s="309"/>
      <c r="R192" s="345"/>
      <c r="S192" s="256"/>
      <c r="T192" s="344"/>
      <c r="U192" s="344"/>
      <c r="V192" s="344"/>
      <c r="W192" s="344"/>
      <c r="X192" s="344"/>
      <c r="Y192" s="360"/>
    </row>
    <row r="193" spans="1:25" s="239" customFormat="1" ht="13.8">
      <c r="A193" s="284" t="s">
        <v>237</v>
      </c>
      <c r="B193" s="285" t="s">
        <v>1287</v>
      </c>
      <c r="C193" s="286">
        <f t="shared" si="45"/>
        <v>797.09</v>
      </c>
      <c r="D193" s="287"/>
      <c r="E193" s="287"/>
      <c r="F193" s="282">
        <f t="shared" si="44"/>
        <v>797.09</v>
      </c>
      <c r="G193" s="288">
        <f t="shared" si="46"/>
        <v>11387</v>
      </c>
      <c r="H193" s="289" t="s">
        <v>1279</v>
      </c>
      <c r="I193" s="326">
        <v>7.0000000000000007E-2</v>
      </c>
      <c r="J193" s="327"/>
      <c r="K193" s="328"/>
      <c r="L193" s="329">
        <v>1.81816902522925E-3</v>
      </c>
      <c r="M193" s="308">
        <f t="shared" ca="1" si="41"/>
        <v>1.7332475683695301E-3</v>
      </c>
      <c r="N193" s="325"/>
      <c r="O193" s="325"/>
      <c r="P193" s="325"/>
      <c r="Q193" s="309"/>
      <c r="R193" s="345"/>
      <c r="S193" s="256"/>
      <c r="T193" s="344"/>
      <c r="U193" s="344"/>
      <c r="V193" s="344"/>
      <c r="W193" s="344"/>
      <c r="X193" s="344"/>
      <c r="Y193" s="360"/>
    </row>
    <row r="194" spans="1:25" s="239" customFormat="1" ht="13.8">
      <c r="A194" s="367" t="s">
        <v>1010</v>
      </c>
      <c r="B194" s="285" t="s">
        <v>1290</v>
      </c>
      <c r="C194" s="286"/>
      <c r="D194" s="287">
        <f>G194*I194</f>
        <v>0</v>
      </c>
      <c r="E194" s="287"/>
      <c r="F194" s="282">
        <f t="shared" si="44"/>
        <v>0</v>
      </c>
      <c r="G194" s="288">
        <v>0</v>
      </c>
      <c r="H194" s="289" t="s">
        <v>1291</v>
      </c>
      <c r="I194" s="326">
        <v>45</v>
      </c>
      <c r="J194" s="327"/>
      <c r="K194" s="328"/>
      <c r="L194" s="329">
        <v>1.4004588363170699E-4</v>
      </c>
      <c r="M194" s="308">
        <f t="shared" ca="1" si="41"/>
        <v>0</v>
      </c>
      <c r="N194" s="325"/>
      <c r="O194" s="325"/>
      <c r="P194" s="325"/>
      <c r="Q194" s="309"/>
      <c r="R194" s="345"/>
      <c r="S194" s="256"/>
      <c r="T194" s="344"/>
      <c r="U194" s="344"/>
      <c r="V194" s="344"/>
      <c r="W194" s="344"/>
      <c r="X194" s="344"/>
      <c r="Y194" s="360"/>
    </row>
    <row r="195" spans="1:25" s="239" customFormat="1" ht="13.8">
      <c r="A195" s="284" t="s">
        <v>1011</v>
      </c>
      <c r="B195" s="285" t="s">
        <v>1292</v>
      </c>
      <c r="C195" s="286">
        <f>G195*I195</f>
        <v>68.322000000000003</v>
      </c>
      <c r="D195" s="287"/>
      <c r="E195" s="287"/>
      <c r="F195" s="282">
        <f t="shared" si="44"/>
        <v>68.322000000000003</v>
      </c>
      <c r="G195" s="288">
        <f>G193</f>
        <v>11387</v>
      </c>
      <c r="H195" s="289" t="s">
        <v>1279</v>
      </c>
      <c r="I195" s="326">
        <v>6.0000000000000001E-3</v>
      </c>
      <c r="J195" s="327"/>
      <c r="K195" s="328"/>
      <c r="L195" s="329">
        <v>1.81816902522925E-4</v>
      </c>
      <c r="M195" s="308">
        <f t="shared" ca="1" si="41"/>
        <v>1.4856407728881701E-4</v>
      </c>
      <c r="N195" s="325"/>
      <c r="O195" s="325"/>
      <c r="P195" s="325"/>
      <c r="Q195" s="309"/>
      <c r="R195" s="345"/>
      <c r="S195" s="256"/>
      <c r="T195" s="344"/>
      <c r="U195" s="344"/>
      <c r="V195" s="344"/>
      <c r="W195" s="344"/>
      <c r="X195" s="344"/>
      <c r="Y195" s="360"/>
    </row>
    <row r="196" spans="1:25" s="239" customFormat="1" ht="13.8">
      <c r="A196" s="367" t="s">
        <v>1012</v>
      </c>
      <c r="B196" s="285" t="s">
        <v>1293</v>
      </c>
      <c r="C196" s="286">
        <f>G196*I196</f>
        <v>22.774000000000001</v>
      </c>
      <c r="D196" s="287"/>
      <c r="E196" s="287"/>
      <c r="F196" s="282">
        <f t="shared" si="44"/>
        <v>22.774000000000001</v>
      </c>
      <c r="G196" s="288">
        <f>G195</f>
        <v>11387</v>
      </c>
      <c r="H196" s="289" t="s">
        <v>1279</v>
      </c>
      <c r="I196" s="326">
        <v>2E-3</v>
      </c>
      <c r="J196" s="327"/>
      <c r="K196" s="328"/>
      <c r="L196" s="329">
        <v>6.0605634174308201E-5</v>
      </c>
      <c r="M196" s="308">
        <f t="shared" ca="1" si="41"/>
        <v>4.95213590962724E-5</v>
      </c>
      <c r="N196" s="325"/>
      <c r="O196" s="325"/>
      <c r="P196" s="325"/>
      <c r="Q196" s="309"/>
      <c r="R196" s="345"/>
      <c r="S196" s="256"/>
      <c r="T196" s="344"/>
      <c r="U196" s="344"/>
      <c r="V196" s="344"/>
      <c r="W196" s="344"/>
      <c r="X196" s="344"/>
      <c r="Y196" s="360"/>
    </row>
    <row r="197" spans="1:25" s="244" customFormat="1" ht="13.8">
      <c r="A197" s="368" t="s">
        <v>1332</v>
      </c>
      <c r="B197" s="369" t="s">
        <v>1333</v>
      </c>
      <c r="C197" s="370">
        <f>SUM(C198:C208)</f>
        <v>6434.0110000000013</v>
      </c>
      <c r="D197" s="370">
        <f>SUM(D199:D208)</f>
        <v>0</v>
      </c>
      <c r="E197" s="370">
        <f>SUM(E199:E208)</f>
        <v>0</v>
      </c>
      <c r="F197" s="371">
        <f t="shared" si="44"/>
        <v>6434.0110000000013</v>
      </c>
      <c r="G197" s="413">
        <v>11387</v>
      </c>
      <c r="H197" s="373" t="s">
        <v>1279</v>
      </c>
      <c r="I197" s="393">
        <f>F197/G197</f>
        <v>0.56503126372178814</v>
      </c>
      <c r="J197" s="394"/>
      <c r="K197" s="395"/>
      <c r="L197" s="396"/>
      <c r="M197" s="397">
        <f t="shared" ca="1" si="41"/>
        <v>1.3990558055693599E-2</v>
      </c>
      <c r="N197" s="323"/>
      <c r="O197" s="323"/>
      <c r="P197" s="323"/>
      <c r="Q197" s="352"/>
      <c r="R197" s="353"/>
      <c r="S197" s="356"/>
      <c r="T197" s="357">
        <f>30*10000/365</f>
        <v>821.91780821917803</v>
      </c>
      <c r="U197" s="357"/>
      <c r="V197" s="357"/>
      <c r="W197" s="357"/>
      <c r="X197" s="357"/>
      <c r="Y197" s="365"/>
    </row>
    <row r="198" spans="1:25" s="238" customFormat="1" ht="13.8">
      <c r="A198" s="374" t="s">
        <v>239</v>
      </c>
      <c r="B198" s="375" t="s">
        <v>1280</v>
      </c>
      <c r="C198" s="376">
        <f>G198*I198</f>
        <v>228.096</v>
      </c>
      <c r="D198" s="376"/>
      <c r="E198" s="376"/>
      <c r="F198" s="377">
        <f t="shared" si="44"/>
        <v>228.096</v>
      </c>
      <c r="G198" s="414">
        <v>11404.8</v>
      </c>
      <c r="H198" s="379" t="str">
        <f>H197</f>
        <v>㎡</v>
      </c>
      <c r="I198" s="398">
        <f>I186</f>
        <v>0.02</v>
      </c>
      <c r="J198" s="399"/>
      <c r="K198" s="400"/>
      <c r="L198" s="401"/>
      <c r="M198" s="402">
        <f t="shared" ca="1" si="41"/>
        <v>4.9598770195939895E-4</v>
      </c>
      <c r="N198" s="325"/>
      <c r="O198" s="325"/>
      <c r="P198" s="325"/>
      <c r="Q198" s="309"/>
      <c r="R198" s="345"/>
      <c r="S198" s="343"/>
      <c r="T198" s="341"/>
      <c r="U198" s="341"/>
      <c r="V198" s="341"/>
      <c r="W198" s="341"/>
      <c r="X198" s="341"/>
      <c r="Y198" s="364"/>
    </row>
    <row r="199" spans="1:25" s="239" customFormat="1" ht="13.8">
      <c r="A199" s="284" t="s">
        <v>240</v>
      </c>
      <c r="B199" s="285" t="s">
        <v>1281</v>
      </c>
      <c r="C199" s="286">
        <f>G199*I199</f>
        <v>56.935000000000002</v>
      </c>
      <c r="D199" s="287"/>
      <c r="E199" s="287"/>
      <c r="F199" s="282">
        <f t="shared" si="44"/>
        <v>56.935000000000002</v>
      </c>
      <c r="G199" s="288">
        <f>G197</f>
        <v>11387</v>
      </c>
      <c r="H199" s="289" t="s">
        <v>1279</v>
      </c>
      <c r="I199" s="326">
        <v>5.0000000000000001E-3</v>
      </c>
      <c r="J199" s="327"/>
      <c r="K199" s="328"/>
      <c r="L199" s="329">
        <v>1.5151408543577E-4</v>
      </c>
      <c r="M199" s="308">
        <f t="shared" ca="1" si="41"/>
        <v>1.2380339774068099E-4</v>
      </c>
      <c r="N199" s="325"/>
      <c r="O199" s="325"/>
      <c r="P199" s="325"/>
      <c r="Q199" s="309"/>
      <c r="R199" s="345"/>
      <c r="S199" s="256"/>
      <c r="T199" s="344"/>
      <c r="U199" s="344"/>
      <c r="V199" s="344"/>
      <c r="W199" s="344"/>
      <c r="X199" s="344"/>
      <c r="Y199" s="360"/>
    </row>
    <row r="200" spans="1:25" s="239" customFormat="1" ht="13.8">
      <c r="A200" s="374" t="s">
        <v>241</v>
      </c>
      <c r="B200" s="285" t="s">
        <v>1282</v>
      </c>
      <c r="C200" s="286">
        <f t="shared" ref="C200:C205" si="47">G200*I200</f>
        <v>79.709000000000003</v>
      </c>
      <c r="D200" s="287"/>
      <c r="E200" s="287"/>
      <c r="F200" s="282">
        <f t="shared" si="44"/>
        <v>79.709000000000003</v>
      </c>
      <c r="G200" s="288">
        <f t="shared" ref="G200:G205" si="48">G199</f>
        <v>11387</v>
      </c>
      <c r="H200" s="289" t="s">
        <v>1279</v>
      </c>
      <c r="I200" s="326">
        <v>7.0000000000000001E-3</v>
      </c>
      <c r="J200" s="327"/>
      <c r="K200" s="328"/>
      <c r="L200" s="329">
        <v>1.81816902522925E-4</v>
      </c>
      <c r="M200" s="308">
        <f t="shared" ref="M200:M231" ca="1" si="49">F200/$F$378*100%</f>
        <v>1.7332475683695301E-4</v>
      </c>
      <c r="N200" s="325"/>
      <c r="O200" s="325"/>
      <c r="P200" s="325"/>
      <c r="Q200" s="309"/>
      <c r="R200" s="345"/>
      <c r="S200" s="256"/>
      <c r="T200" s="344"/>
      <c r="U200" s="344"/>
      <c r="V200" s="344"/>
      <c r="W200" s="344"/>
      <c r="X200" s="344"/>
      <c r="Y200" s="360"/>
    </row>
    <row r="201" spans="1:25" s="239" customFormat="1" ht="13.8">
      <c r="A201" s="284" t="s">
        <v>242</v>
      </c>
      <c r="B201" s="285" t="s">
        <v>1283</v>
      </c>
      <c r="C201" s="286">
        <f t="shared" si="47"/>
        <v>2846.75</v>
      </c>
      <c r="D201" s="287"/>
      <c r="E201" s="287"/>
      <c r="F201" s="282">
        <f t="shared" si="44"/>
        <v>2846.75</v>
      </c>
      <c r="G201" s="288">
        <f t="shared" si="48"/>
        <v>11387</v>
      </c>
      <c r="H201" s="289" t="s">
        <v>1279</v>
      </c>
      <c r="I201" s="326">
        <v>0.25</v>
      </c>
      <c r="J201" s="327"/>
      <c r="K201" s="328"/>
      <c r="L201" s="329">
        <v>7.5757042717885196E-3</v>
      </c>
      <c r="M201" s="308">
        <f t="shared" ca="1" si="49"/>
        <v>6.1901698870340501E-3</v>
      </c>
      <c r="N201" s="325"/>
      <c r="O201" s="325"/>
      <c r="P201" s="325"/>
      <c r="Q201" s="309"/>
      <c r="R201" s="345"/>
      <c r="S201" s="256"/>
      <c r="T201" s="344"/>
      <c r="U201" s="344"/>
      <c r="V201" s="344"/>
      <c r="W201" s="344"/>
      <c r="X201" s="344"/>
      <c r="Y201" s="360"/>
    </row>
    <row r="202" spans="1:25" s="239" customFormat="1" ht="13.8">
      <c r="A202" s="374" t="s">
        <v>243</v>
      </c>
      <c r="B202" s="285" t="s">
        <v>1284</v>
      </c>
      <c r="C202" s="286">
        <f t="shared" si="47"/>
        <v>1708.05</v>
      </c>
      <c r="D202" s="287"/>
      <c r="E202" s="287"/>
      <c r="F202" s="282">
        <f t="shared" si="44"/>
        <v>1708.05</v>
      </c>
      <c r="G202" s="288">
        <f t="shared" si="48"/>
        <v>11387</v>
      </c>
      <c r="H202" s="289" t="s">
        <v>1279</v>
      </c>
      <c r="I202" s="326">
        <v>0.15</v>
      </c>
      <c r="J202" s="327"/>
      <c r="K202" s="328"/>
      <c r="L202" s="329">
        <v>4.5454225630731102E-3</v>
      </c>
      <c r="M202" s="308">
        <f t="shared" ca="1" si="49"/>
        <v>3.7141019322204298E-3</v>
      </c>
      <c r="N202" s="325"/>
      <c r="O202" s="325"/>
      <c r="P202" s="325"/>
      <c r="Q202" s="309"/>
      <c r="R202" s="345"/>
      <c r="S202" s="256"/>
      <c r="T202" s="344"/>
      <c r="U202" s="344"/>
      <c r="V202" s="344"/>
      <c r="W202" s="344"/>
      <c r="X202" s="344"/>
      <c r="Y202" s="360"/>
    </row>
    <row r="203" spans="1:25" s="239" customFormat="1" ht="13.8">
      <c r="A203" s="284" t="s">
        <v>244</v>
      </c>
      <c r="B203" s="285" t="s">
        <v>1285</v>
      </c>
      <c r="C203" s="286">
        <f t="shared" si="47"/>
        <v>170.80500000000001</v>
      </c>
      <c r="D203" s="287"/>
      <c r="E203" s="287"/>
      <c r="F203" s="282">
        <f t="shared" si="44"/>
        <v>170.80500000000001</v>
      </c>
      <c r="G203" s="288">
        <f t="shared" si="48"/>
        <v>11387</v>
      </c>
      <c r="H203" s="289" t="s">
        <v>1279</v>
      </c>
      <c r="I203" s="326">
        <v>1.4999999999999999E-2</v>
      </c>
      <c r="J203" s="327"/>
      <c r="K203" s="328"/>
      <c r="L203" s="329">
        <v>4.5454225630731099E-4</v>
      </c>
      <c r="M203" s="308">
        <f t="shared" ca="1" si="49"/>
        <v>3.7141019322204299E-4</v>
      </c>
      <c r="N203" s="325"/>
      <c r="O203" s="325"/>
      <c r="P203" s="325"/>
      <c r="Q203" s="309"/>
      <c r="R203" s="345"/>
      <c r="S203" s="256"/>
      <c r="T203" s="344"/>
      <c r="U203" s="344"/>
      <c r="V203" s="344"/>
      <c r="W203" s="344"/>
      <c r="X203" s="344"/>
      <c r="Y203" s="360"/>
    </row>
    <row r="204" spans="1:25" s="239" customFormat="1" ht="13.8">
      <c r="A204" s="374" t="s">
        <v>245</v>
      </c>
      <c r="B204" s="285" t="s">
        <v>1286</v>
      </c>
      <c r="C204" s="286">
        <f t="shared" si="47"/>
        <v>455.48</v>
      </c>
      <c r="D204" s="287"/>
      <c r="E204" s="287"/>
      <c r="F204" s="282">
        <f t="shared" si="44"/>
        <v>455.48</v>
      </c>
      <c r="G204" s="288">
        <f t="shared" si="48"/>
        <v>11387</v>
      </c>
      <c r="H204" s="289" t="s">
        <v>1279</v>
      </c>
      <c r="I204" s="326">
        <v>0.04</v>
      </c>
      <c r="J204" s="327"/>
      <c r="K204" s="328"/>
      <c r="L204" s="329">
        <v>1.21211268348616E-3</v>
      </c>
      <c r="M204" s="308">
        <f t="shared" ca="1" si="49"/>
        <v>9.904271819254479E-4</v>
      </c>
      <c r="N204" s="325"/>
      <c r="O204" s="325"/>
      <c r="P204" s="325"/>
      <c r="Q204" s="309"/>
      <c r="R204" s="345"/>
      <c r="S204" s="256"/>
      <c r="T204" s="344"/>
      <c r="U204" s="344"/>
      <c r="V204" s="344"/>
      <c r="W204" s="344"/>
      <c r="X204" s="344"/>
      <c r="Y204" s="360"/>
    </row>
    <row r="205" spans="1:25" s="239" customFormat="1" ht="13.8">
      <c r="A205" s="284" t="s">
        <v>246</v>
      </c>
      <c r="B205" s="285" t="s">
        <v>1287</v>
      </c>
      <c r="C205" s="286">
        <f t="shared" si="47"/>
        <v>797.09</v>
      </c>
      <c r="D205" s="287"/>
      <c r="E205" s="287"/>
      <c r="F205" s="282">
        <f t="shared" si="44"/>
        <v>797.09</v>
      </c>
      <c r="G205" s="288">
        <f t="shared" si="48"/>
        <v>11387</v>
      </c>
      <c r="H205" s="289" t="s">
        <v>1279</v>
      </c>
      <c r="I205" s="326">
        <v>7.0000000000000007E-2</v>
      </c>
      <c r="J205" s="327"/>
      <c r="K205" s="328"/>
      <c r="L205" s="329">
        <v>1.81816902522925E-3</v>
      </c>
      <c r="M205" s="308">
        <f t="shared" ca="1" si="49"/>
        <v>1.7332475683695301E-3</v>
      </c>
      <c r="N205" s="325"/>
      <c r="O205" s="325"/>
      <c r="P205" s="325"/>
      <c r="Q205" s="309"/>
      <c r="R205" s="345"/>
      <c r="S205" s="256"/>
      <c r="T205" s="344"/>
      <c r="U205" s="344"/>
      <c r="V205" s="344"/>
      <c r="W205" s="344"/>
      <c r="X205" s="344"/>
      <c r="Y205" s="360"/>
    </row>
    <row r="206" spans="1:25" s="239" customFormat="1" ht="13.8">
      <c r="A206" s="374" t="s">
        <v>1014</v>
      </c>
      <c r="B206" s="285" t="s">
        <v>1290</v>
      </c>
      <c r="C206" s="286"/>
      <c r="D206" s="287">
        <f>G206*I206</f>
        <v>0</v>
      </c>
      <c r="E206" s="287"/>
      <c r="F206" s="282">
        <f t="shared" si="44"/>
        <v>0</v>
      </c>
      <c r="G206" s="288">
        <v>0</v>
      </c>
      <c r="H206" s="289" t="s">
        <v>1291</v>
      </c>
      <c r="I206" s="326">
        <v>45</v>
      </c>
      <c r="J206" s="327"/>
      <c r="K206" s="328"/>
      <c r="L206" s="329">
        <v>1.4004588363170699E-4</v>
      </c>
      <c r="M206" s="308">
        <f t="shared" ca="1" si="49"/>
        <v>0</v>
      </c>
      <c r="N206" s="325"/>
      <c r="O206" s="325"/>
      <c r="P206" s="325"/>
      <c r="Q206" s="309"/>
      <c r="R206" s="345"/>
      <c r="S206" s="256"/>
      <c r="T206" s="344"/>
      <c r="U206" s="344"/>
      <c r="V206" s="344"/>
      <c r="W206" s="344"/>
      <c r="X206" s="344"/>
      <c r="Y206" s="360"/>
    </row>
    <row r="207" spans="1:25" s="239" customFormat="1" ht="13.8">
      <c r="A207" s="284" t="s">
        <v>1015</v>
      </c>
      <c r="B207" s="285" t="s">
        <v>1292</v>
      </c>
      <c r="C207" s="286">
        <f>G207*I207</f>
        <v>68.322000000000003</v>
      </c>
      <c r="D207" s="287"/>
      <c r="E207" s="287"/>
      <c r="F207" s="282">
        <f t="shared" si="44"/>
        <v>68.322000000000003</v>
      </c>
      <c r="G207" s="288">
        <f>G205</f>
        <v>11387</v>
      </c>
      <c r="H207" s="289" t="s">
        <v>1279</v>
      </c>
      <c r="I207" s="326">
        <v>6.0000000000000001E-3</v>
      </c>
      <c r="J207" s="327"/>
      <c r="K207" s="328"/>
      <c r="L207" s="329">
        <v>1.81816902522925E-4</v>
      </c>
      <c r="M207" s="308">
        <f t="shared" ca="1" si="49"/>
        <v>1.4856407728881701E-4</v>
      </c>
      <c r="N207" s="325"/>
      <c r="O207" s="325"/>
      <c r="P207" s="325"/>
      <c r="Q207" s="309"/>
      <c r="R207" s="345"/>
      <c r="S207" s="256"/>
      <c r="T207" s="344"/>
      <c r="U207" s="344"/>
      <c r="V207" s="344"/>
      <c r="W207" s="344"/>
      <c r="X207" s="344"/>
      <c r="Y207" s="360"/>
    </row>
    <row r="208" spans="1:25" s="239" customFormat="1" ht="13.8">
      <c r="A208" s="374" t="s">
        <v>1016</v>
      </c>
      <c r="B208" s="285" t="s">
        <v>1293</v>
      </c>
      <c r="C208" s="286">
        <f>G208*I208</f>
        <v>22.774000000000001</v>
      </c>
      <c r="D208" s="287"/>
      <c r="E208" s="287"/>
      <c r="F208" s="282">
        <f t="shared" si="44"/>
        <v>22.774000000000001</v>
      </c>
      <c r="G208" s="288">
        <f>G207</f>
        <v>11387</v>
      </c>
      <c r="H208" s="289" t="s">
        <v>1279</v>
      </c>
      <c r="I208" s="326">
        <v>2E-3</v>
      </c>
      <c r="J208" s="327"/>
      <c r="K208" s="328"/>
      <c r="L208" s="329">
        <v>6.0605634174308201E-5</v>
      </c>
      <c r="M208" s="308">
        <f t="shared" ca="1" si="49"/>
        <v>4.95213590962724E-5</v>
      </c>
      <c r="N208" s="325"/>
      <c r="O208" s="325"/>
      <c r="P208" s="325"/>
      <c r="Q208" s="309"/>
      <c r="R208" s="345"/>
      <c r="S208" s="256"/>
      <c r="T208" s="344"/>
      <c r="U208" s="344"/>
      <c r="V208" s="344"/>
      <c r="W208" s="344"/>
      <c r="X208" s="344"/>
      <c r="Y208" s="360"/>
    </row>
    <row r="209" spans="1:25" s="246" customFormat="1" ht="13.8">
      <c r="A209" s="415">
        <v>3</v>
      </c>
      <c r="B209" s="416" t="s">
        <v>1334</v>
      </c>
      <c r="C209" s="417">
        <f>C210+C235</f>
        <v>96700.72484000001</v>
      </c>
      <c r="D209" s="417">
        <f>D210+D235</f>
        <v>810</v>
      </c>
      <c r="E209" s="417">
        <f>E210+E235</f>
        <v>0</v>
      </c>
      <c r="F209" s="417">
        <f t="shared" si="44"/>
        <v>97510.72484000001</v>
      </c>
      <c r="G209" s="417"/>
      <c r="H209" s="417"/>
      <c r="I209" s="418"/>
      <c r="J209" s="419"/>
      <c r="K209" s="1181"/>
      <c r="L209" s="1182"/>
      <c r="M209" s="420">
        <f t="shared" ca="1" si="49"/>
        <v>0.21203405728196401</v>
      </c>
      <c r="N209" s="421"/>
      <c r="O209" s="421"/>
      <c r="P209" s="323"/>
      <c r="Q209" s="422"/>
      <c r="R209" s="423"/>
      <c r="S209" s="355"/>
      <c r="T209" s="355">
        <f>T197/32</f>
        <v>25.684931506849313</v>
      </c>
      <c r="U209" s="355"/>
      <c r="V209" s="355"/>
      <c r="W209" s="355"/>
      <c r="X209" s="355"/>
      <c r="Y209" s="355"/>
    </row>
    <row r="210" spans="1:25" s="247" customFormat="1" ht="13.8">
      <c r="A210" s="297" t="s">
        <v>1335</v>
      </c>
      <c r="B210" s="274" t="s">
        <v>1336</v>
      </c>
      <c r="C210" s="275">
        <f>C211+C223</f>
        <v>59378.65</v>
      </c>
      <c r="D210" s="275">
        <f>D211+D223</f>
        <v>360</v>
      </c>
      <c r="E210" s="275">
        <f>E211+E234</f>
        <v>0</v>
      </c>
      <c r="F210" s="276">
        <f t="shared" si="44"/>
        <v>59738.65</v>
      </c>
      <c r="G210" s="277"/>
      <c r="H210" s="278" t="s">
        <v>1279</v>
      </c>
      <c r="I210" s="318"/>
      <c r="J210" s="333"/>
      <c r="K210" s="334"/>
      <c r="L210" s="335"/>
      <c r="M210" s="322">
        <f t="shared" ca="1" si="49"/>
        <v>0.12989984800985899</v>
      </c>
      <c r="N210" s="323"/>
      <c r="O210" s="323"/>
      <c r="P210" s="323"/>
      <c r="Q210" s="352"/>
      <c r="R210" s="353"/>
      <c r="S210" s="356" t="s">
        <v>1310</v>
      </c>
      <c r="T210" s="357"/>
      <c r="U210" s="357"/>
      <c r="V210" s="357"/>
      <c r="W210" s="357"/>
      <c r="X210" s="357"/>
      <c r="Y210" s="365"/>
    </row>
    <row r="211" spans="1:25" s="243" customFormat="1" ht="13.8">
      <c r="A211" s="279" t="s">
        <v>356</v>
      </c>
      <c r="B211" s="280" t="s">
        <v>1337</v>
      </c>
      <c r="C211" s="281">
        <f>SUM(C212:C222)</f>
        <v>38498.65</v>
      </c>
      <c r="D211" s="281">
        <f>SUM(D212:D222)</f>
        <v>360</v>
      </c>
      <c r="E211" s="281">
        <f>SUM(E212:E222)</f>
        <v>0</v>
      </c>
      <c r="F211" s="282">
        <f t="shared" si="44"/>
        <v>38858.65</v>
      </c>
      <c r="G211" s="283">
        <v>57525</v>
      </c>
      <c r="H211" s="260" t="s">
        <v>1279</v>
      </c>
      <c r="I211" s="324">
        <f>F211/G211</f>
        <v>0.67550890916992612</v>
      </c>
      <c r="J211" s="302"/>
      <c r="K211" s="331"/>
      <c r="L211" s="332"/>
      <c r="M211" s="308">
        <f t="shared" ca="1" si="49"/>
        <v>8.4496933373424399E-2</v>
      </c>
      <c r="N211" s="325"/>
      <c r="O211" s="325"/>
      <c r="P211" s="325"/>
      <c r="Q211" s="309"/>
      <c r="R211" s="345"/>
      <c r="S211" s="343"/>
      <c r="T211" s="341"/>
      <c r="U211" s="341"/>
      <c r="V211" s="341"/>
      <c r="W211" s="341"/>
      <c r="X211" s="341"/>
      <c r="Y211" s="364"/>
    </row>
    <row r="212" spans="1:25" s="243" customFormat="1" ht="13.8">
      <c r="A212" s="279" t="s">
        <v>1019</v>
      </c>
      <c r="B212" s="280" t="str">
        <f>B198</f>
        <v>场平</v>
      </c>
      <c r="C212" s="281">
        <f>G212*I212</f>
        <v>187</v>
      </c>
      <c r="D212" s="281"/>
      <c r="E212" s="281"/>
      <c r="F212" s="282">
        <f t="shared" si="44"/>
        <v>187</v>
      </c>
      <c r="G212" s="283">
        <v>9350</v>
      </c>
      <c r="H212" s="260" t="str">
        <f>H211</f>
        <v>㎡</v>
      </c>
      <c r="I212" s="324">
        <f>I198</f>
        <v>0.02</v>
      </c>
      <c r="J212" s="331"/>
      <c r="K212" s="336"/>
      <c r="L212" s="332"/>
      <c r="M212" s="308">
        <f t="shared" ca="1" si="49"/>
        <v>4.06625720163473E-4</v>
      </c>
      <c r="N212" s="325"/>
      <c r="O212" s="325"/>
      <c r="P212" s="325"/>
      <c r="Q212" s="309"/>
      <c r="R212" s="345"/>
      <c r="S212" s="343"/>
      <c r="T212" s="341"/>
      <c r="U212" s="341"/>
      <c r="V212" s="341"/>
      <c r="W212" s="341"/>
      <c r="X212" s="341"/>
      <c r="Y212" s="364"/>
    </row>
    <row r="213" spans="1:25" s="239" customFormat="1" ht="13.8">
      <c r="A213" s="284" t="s">
        <v>1020</v>
      </c>
      <c r="B213" s="285" t="s">
        <v>1281</v>
      </c>
      <c r="C213" s="286">
        <f>G213*I213</f>
        <v>287.625</v>
      </c>
      <c r="D213" s="287"/>
      <c r="E213" s="287"/>
      <c r="F213" s="282">
        <f t="shared" ref="F213:F256" si="50">SUM(C213:E213)</f>
        <v>287.625</v>
      </c>
      <c r="G213" s="288">
        <f>G211</f>
        <v>57525</v>
      </c>
      <c r="H213" s="289" t="s">
        <v>1279</v>
      </c>
      <c r="I213" s="326">
        <v>5.0000000000000001E-3</v>
      </c>
      <c r="J213" s="327"/>
      <c r="K213" s="328"/>
      <c r="L213" s="329">
        <v>1.5151408543577E-4</v>
      </c>
      <c r="M213" s="308">
        <f t="shared" ca="1" si="49"/>
        <v>6.2543167252416599E-4</v>
      </c>
      <c r="N213" s="325"/>
      <c r="O213" s="325"/>
      <c r="P213" s="325"/>
      <c r="Q213" s="309"/>
      <c r="R213" s="345"/>
      <c r="S213" s="256"/>
      <c r="T213" s="344"/>
      <c r="U213" s="344"/>
      <c r="V213" s="344"/>
      <c r="W213" s="344"/>
      <c r="X213" s="344"/>
      <c r="Y213" s="360"/>
    </row>
    <row r="214" spans="1:25" s="239" customFormat="1" ht="13.8">
      <c r="A214" s="279" t="s">
        <v>1021</v>
      </c>
      <c r="B214" s="285" t="s">
        <v>1282</v>
      </c>
      <c r="C214" s="286">
        <f t="shared" ref="C214:C219" si="51">G214*I214</f>
        <v>8053.5000000000009</v>
      </c>
      <c r="D214" s="287"/>
      <c r="E214" s="287"/>
      <c r="F214" s="282">
        <f t="shared" si="50"/>
        <v>8053.5000000000009</v>
      </c>
      <c r="G214" s="288">
        <f t="shared" ref="G214:G219" si="52">G213</f>
        <v>57525</v>
      </c>
      <c r="H214" s="289" t="s">
        <v>1279</v>
      </c>
      <c r="I214" s="326">
        <f>1400/10000</f>
        <v>0.14000000000000001</v>
      </c>
      <c r="J214" s="327"/>
      <c r="K214" s="328"/>
      <c r="L214" s="329">
        <v>1.81816902522925E-4</v>
      </c>
      <c r="M214" s="308">
        <f t="shared" ca="1" si="49"/>
        <v>1.75120868306766E-2</v>
      </c>
      <c r="N214" s="325"/>
      <c r="O214" s="325"/>
      <c r="P214" s="325"/>
      <c r="Q214" s="309"/>
      <c r="R214" s="345"/>
      <c r="S214" s="256"/>
      <c r="T214" s="344"/>
      <c r="U214" s="344"/>
      <c r="V214" s="344"/>
      <c r="W214" s="344"/>
      <c r="X214" s="344"/>
      <c r="Y214" s="360"/>
    </row>
    <row r="215" spans="1:25" s="239" customFormat="1" ht="13.8">
      <c r="A215" s="284" t="s">
        <v>1022</v>
      </c>
      <c r="B215" s="285" t="s">
        <v>1283</v>
      </c>
      <c r="C215" s="286">
        <f t="shared" si="51"/>
        <v>14381.25</v>
      </c>
      <c r="D215" s="287"/>
      <c r="E215" s="287"/>
      <c r="F215" s="282">
        <f t="shared" si="50"/>
        <v>14381.25</v>
      </c>
      <c r="G215" s="288">
        <f t="shared" si="52"/>
        <v>57525</v>
      </c>
      <c r="H215" s="289" t="s">
        <v>1279</v>
      </c>
      <c r="I215" s="326">
        <v>0.25</v>
      </c>
      <c r="J215" s="327"/>
      <c r="K215" s="328"/>
      <c r="L215" s="329">
        <v>7.5757042717885196E-3</v>
      </c>
      <c r="M215" s="308">
        <f t="shared" ca="1" si="49"/>
        <v>3.1271583626208299E-2</v>
      </c>
      <c r="N215" s="325"/>
      <c r="O215" s="325"/>
      <c r="P215" s="325"/>
      <c r="Q215" s="309"/>
      <c r="R215" s="345"/>
      <c r="S215" s="256"/>
      <c r="T215" s="344"/>
      <c r="U215" s="344"/>
      <c r="V215" s="344"/>
      <c r="W215" s="344"/>
      <c r="X215" s="344"/>
      <c r="Y215" s="360"/>
    </row>
    <row r="216" spans="1:25" s="239" customFormat="1" ht="13.8">
      <c r="A216" s="279" t="s">
        <v>1023</v>
      </c>
      <c r="B216" s="285" t="s">
        <v>1284</v>
      </c>
      <c r="C216" s="286">
        <f t="shared" si="51"/>
        <v>8628.75</v>
      </c>
      <c r="D216" s="287"/>
      <c r="E216" s="287"/>
      <c r="F216" s="282">
        <f t="shared" si="50"/>
        <v>8628.75</v>
      </c>
      <c r="G216" s="288">
        <f t="shared" si="52"/>
        <v>57525</v>
      </c>
      <c r="H216" s="289" t="s">
        <v>1279</v>
      </c>
      <c r="I216" s="326">
        <v>0.15</v>
      </c>
      <c r="J216" s="327"/>
      <c r="K216" s="328"/>
      <c r="L216" s="329">
        <v>4.5454225630731102E-3</v>
      </c>
      <c r="M216" s="308">
        <f t="shared" ca="1" si="49"/>
        <v>1.8762950175725001E-2</v>
      </c>
      <c r="N216" s="325"/>
      <c r="O216" s="325"/>
      <c r="P216" s="325"/>
      <c r="Q216" s="309"/>
      <c r="R216" s="345"/>
      <c r="S216" s="256"/>
      <c r="T216" s="344"/>
      <c r="U216" s="344"/>
      <c r="V216" s="344"/>
      <c r="W216" s="344"/>
      <c r="X216" s="344"/>
      <c r="Y216" s="360"/>
    </row>
    <row r="217" spans="1:25" s="239" customFormat="1" ht="13.8">
      <c r="A217" s="284" t="s">
        <v>1024</v>
      </c>
      <c r="B217" s="285" t="s">
        <v>1285</v>
      </c>
      <c r="C217" s="286">
        <f t="shared" si="51"/>
        <v>747.82499999999993</v>
      </c>
      <c r="D217" s="287"/>
      <c r="E217" s="287"/>
      <c r="F217" s="282">
        <f t="shared" si="50"/>
        <v>747.82499999999993</v>
      </c>
      <c r="G217" s="288">
        <f t="shared" si="52"/>
        <v>57525</v>
      </c>
      <c r="H217" s="289" t="s">
        <v>1279</v>
      </c>
      <c r="I217" s="326">
        <v>1.2999999999999999E-2</v>
      </c>
      <c r="J217" s="327"/>
      <c r="K217" s="328"/>
      <c r="L217" s="329">
        <v>4.5454225630731099E-4</v>
      </c>
      <c r="M217" s="308">
        <f t="shared" ca="1" si="49"/>
        <v>1.6261223485628301E-3</v>
      </c>
      <c r="N217" s="325"/>
      <c r="O217" s="325"/>
      <c r="P217" s="325"/>
      <c r="Q217" s="309"/>
      <c r="R217" s="345"/>
      <c r="S217" s="256"/>
      <c r="T217" s="344"/>
      <c r="U217" s="344"/>
      <c r="V217" s="344"/>
      <c r="W217" s="344"/>
      <c r="X217" s="344"/>
      <c r="Y217" s="360"/>
    </row>
    <row r="218" spans="1:25" s="239" customFormat="1" ht="13.8">
      <c r="A218" s="279" t="s">
        <v>1025</v>
      </c>
      <c r="B218" s="285" t="s">
        <v>1286</v>
      </c>
      <c r="C218" s="286">
        <f t="shared" si="51"/>
        <v>2301</v>
      </c>
      <c r="D218" s="287"/>
      <c r="E218" s="287"/>
      <c r="F218" s="282">
        <f t="shared" si="50"/>
        <v>2301</v>
      </c>
      <c r="G218" s="288">
        <f t="shared" si="52"/>
        <v>57525</v>
      </c>
      <c r="H218" s="289" t="s">
        <v>1279</v>
      </c>
      <c r="I218" s="326">
        <v>0.04</v>
      </c>
      <c r="J218" s="327"/>
      <c r="K218" s="328"/>
      <c r="L218" s="329">
        <v>1.21211268348616E-3</v>
      </c>
      <c r="M218" s="308">
        <f t="shared" ca="1" si="49"/>
        <v>5.0034533801933297E-3</v>
      </c>
      <c r="N218" s="325"/>
      <c r="O218" s="325"/>
      <c r="P218" s="325"/>
      <c r="Q218" s="309"/>
      <c r="R218" s="345"/>
      <c r="S218" s="256"/>
      <c r="T218" s="344"/>
      <c r="U218" s="344"/>
      <c r="V218" s="344"/>
      <c r="W218" s="344"/>
      <c r="X218" s="344"/>
      <c r="Y218" s="360"/>
    </row>
    <row r="219" spans="1:25" s="239" customFormat="1" ht="13.8">
      <c r="A219" s="284" t="s">
        <v>1026</v>
      </c>
      <c r="B219" s="285" t="s">
        <v>1287</v>
      </c>
      <c r="C219" s="286">
        <f t="shared" si="51"/>
        <v>3451.5</v>
      </c>
      <c r="D219" s="287"/>
      <c r="E219" s="287"/>
      <c r="F219" s="282">
        <f t="shared" si="50"/>
        <v>3451.5</v>
      </c>
      <c r="G219" s="288">
        <f t="shared" si="52"/>
        <v>57525</v>
      </c>
      <c r="H219" s="289" t="s">
        <v>1279</v>
      </c>
      <c r="I219" s="326">
        <v>0.06</v>
      </c>
      <c r="J219" s="327"/>
      <c r="K219" s="328"/>
      <c r="L219" s="329">
        <v>1.81816902522925E-3</v>
      </c>
      <c r="M219" s="308">
        <f t="shared" ca="1" si="49"/>
        <v>7.5051800702899902E-3</v>
      </c>
      <c r="N219" s="325"/>
      <c r="O219" s="325"/>
      <c r="P219" s="325"/>
      <c r="Q219" s="309"/>
      <c r="R219" s="345"/>
      <c r="S219" s="256"/>
      <c r="T219" s="344"/>
      <c r="U219" s="344"/>
      <c r="V219" s="344"/>
      <c r="W219" s="344"/>
      <c r="X219" s="344"/>
      <c r="Y219" s="360"/>
    </row>
    <row r="220" spans="1:25" s="239" customFormat="1" ht="13.8">
      <c r="A220" s="279" t="s">
        <v>1027</v>
      </c>
      <c r="B220" s="285" t="s">
        <v>1290</v>
      </c>
      <c r="C220" s="286"/>
      <c r="D220" s="287">
        <f>G220*I220</f>
        <v>360</v>
      </c>
      <c r="E220" s="287"/>
      <c r="F220" s="282">
        <f t="shared" si="50"/>
        <v>360</v>
      </c>
      <c r="G220" s="288">
        <v>8</v>
      </c>
      <c r="H220" s="289" t="s">
        <v>1291</v>
      </c>
      <c r="I220" s="326">
        <v>45</v>
      </c>
      <c r="J220" s="327"/>
      <c r="K220" s="328"/>
      <c r="L220" s="329">
        <v>1.4004588363170699E-4</v>
      </c>
      <c r="M220" s="308">
        <f t="shared" ca="1" si="49"/>
        <v>7.8280887304198101E-4</v>
      </c>
      <c r="N220" s="325"/>
      <c r="O220" s="325"/>
      <c r="P220" s="325"/>
      <c r="Q220" s="309"/>
      <c r="R220" s="345"/>
      <c r="S220" s="256"/>
      <c r="T220" s="344"/>
      <c r="U220" s="344"/>
      <c r="V220" s="344"/>
      <c r="W220" s="344"/>
      <c r="X220" s="344"/>
      <c r="Y220" s="360"/>
    </row>
    <row r="221" spans="1:25" s="239" customFormat="1" ht="13.8">
      <c r="A221" s="284" t="s">
        <v>1028</v>
      </c>
      <c r="B221" s="285" t="s">
        <v>1292</v>
      </c>
      <c r="C221" s="286">
        <f>G221*I221</f>
        <v>345.15000000000003</v>
      </c>
      <c r="D221" s="287"/>
      <c r="E221" s="287"/>
      <c r="F221" s="282">
        <f t="shared" si="50"/>
        <v>345.15000000000003</v>
      </c>
      <c r="G221" s="288">
        <f>G219</f>
        <v>57525</v>
      </c>
      <c r="H221" s="289" t="s">
        <v>1279</v>
      </c>
      <c r="I221" s="326">
        <v>6.0000000000000001E-3</v>
      </c>
      <c r="J221" s="327"/>
      <c r="K221" s="328"/>
      <c r="L221" s="329">
        <v>1.81816902522925E-4</v>
      </c>
      <c r="M221" s="308">
        <f t="shared" ca="1" si="49"/>
        <v>7.5051800702899895E-4</v>
      </c>
      <c r="N221" s="325"/>
      <c r="O221" s="325"/>
      <c r="P221" s="325"/>
      <c r="Q221" s="309"/>
      <c r="R221" s="345"/>
      <c r="S221" s="256"/>
      <c r="T221" s="344"/>
      <c r="U221" s="344"/>
      <c r="V221" s="344"/>
      <c r="W221" s="344"/>
      <c r="X221" s="344"/>
      <c r="Y221" s="360"/>
    </row>
    <row r="222" spans="1:25" s="239" customFormat="1" ht="13.8">
      <c r="A222" s="279" t="s">
        <v>1029</v>
      </c>
      <c r="B222" s="285" t="s">
        <v>1293</v>
      </c>
      <c r="C222" s="286">
        <f>G222*I222</f>
        <v>115.05</v>
      </c>
      <c r="D222" s="287"/>
      <c r="E222" s="287"/>
      <c r="F222" s="282">
        <f t="shared" si="50"/>
        <v>115.05</v>
      </c>
      <c r="G222" s="288">
        <f>G221</f>
        <v>57525</v>
      </c>
      <c r="H222" s="289" t="s">
        <v>1279</v>
      </c>
      <c r="I222" s="326">
        <v>2E-3</v>
      </c>
      <c r="J222" s="327"/>
      <c r="K222" s="328"/>
      <c r="L222" s="329">
        <v>6.0605634174308201E-5</v>
      </c>
      <c r="M222" s="308">
        <f t="shared" ca="1" si="49"/>
        <v>2.5017266900966597E-4</v>
      </c>
      <c r="N222" s="325"/>
      <c r="O222" s="325"/>
      <c r="P222" s="325"/>
      <c r="Q222" s="309"/>
      <c r="R222" s="345"/>
      <c r="S222" s="256"/>
      <c r="T222" s="344"/>
      <c r="U222" s="344"/>
      <c r="V222" s="344"/>
      <c r="W222" s="344"/>
      <c r="X222" s="344"/>
      <c r="Y222" s="360"/>
    </row>
    <row r="223" spans="1:25" s="247" customFormat="1" ht="13.8">
      <c r="A223" s="295" t="s">
        <v>357</v>
      </c>
      <c r="B223" s="274" t="s">
        <v>1338</v>
      </c>
      <c r="C223" s="275">
        <f>SUM(C224:C234)</f>
        <v>20880</v>
      </c>
      <c r="D223" s="275">
        <f>SUM(D224:D234)</f>
        <v>0</v>
      </c>
      <c r="E223" s="275">
        <f>SUM(E224:E234)</f>
        <v>0</v>
      </c>
      <c r="F223" s="276">
        <f t="shared" si="50"/>
        <v>20880</v>
      </c>
      <c r="G223" s="277">
        <v>30000</v>
      </c>
      <c r="H223" s="278" t="s">
        <v>1279</v>
      </c>
      <c r="I223" s="318">
        <f>F223/G223</f>
        <v>0.69599999999999995</v>
      </c>
      <c r="J223" s="333"/>
      <c r="K223" s="334"/>
      <c r="L223" s="335"/>
      <c r="M223" s="322">
        <f t="shared" ca="1" si="49"/>
        <v>4.54029146364349E-2</v>
      </c>
      <c r="N223" s="323"/>
      <c r="O223" s="323"/>
      <c r="P223" s="323"/>
      <c r="Q223" s="352"/>
      <c r="R223" s="353"/>
      <c r="S223" s="356"/>
      <c r="T223" s="357"/>
      <c r="U223" s="357"/>
      <c r="V223" s="357"/>
      <c r="W223" s="357"/>
      <c r="X223" s="357"/>
      <c r="Y223" s="365"/>
    </row>
    <row r="224" spans="1:25" s="239" customFormat="1" ht="13.8">
      <c r="A224" s="284" t="s">
        <v>1031</v>
      </c>
      <c r="B224" s="285" t="s">
        <v>1281</v>
      </c>
      <c r="C224" s="286">
        <f>G224*I224</f>
        <v>150</v>
      </c>
      <c r="D224" s="287"/>
      <c r="E224" s="287"/>
      <c r="F224" s="282">
        <f t="shared" si="50"/>
        <v>150</v>
      </c>
      <c r="G224" s="288">
        <f>G223</f>
        <v>30000</v>
      </c>
      <c r="H224" s="289" t="s">
        <v>1279</v>
      </c>
      <c r="I224" s="326">
        <v>5.0000000000000001E-3</v>
      </c>
      <c r="J224" s="327"/>
      <c r="K224" s="328"/>
      <c r="L224" s="329">
        <v>1.5151408543577E-4</v>
      </c>
      <c r="M224" s="308">
        <f t="shared" ca="1" si="49"/>
        <v>3.2617036376749202E-4</v>
      </c>
      <c r="N224" s="325"/>
      <c r="O224" s="325"/>
      <c r="P224" s="325"/>
      <c r="Q224" s="309"/>
      <c r="R224" s="345"/>
      <c r="S224" s="256"/>
      <c r="T224" s="344"/>
      <c r="U224" s="344"/>
      <c r="V224" s="344"/>
      <c r="W224" s="344"/>
      <c r="X224" s="344"/>
      <c r="Y224" s="360"/>
    </row>
    <row r="225" spans="1:25" s="239" customFormat="1" ht="13.8">
      <c r="A225" s="284" t="s">
        <v>1032</v>
      </c>
      <c r="B225" s="285" t="s">
        <v>1282</v>
      </c>
      <c r="C225" s="286">
        <f t="shared" ref="C225:C230" si="53">G225*I225</f>
        <v>4200</v>
      </c>
      <c r="D225" s="287"/>
      <c r="E225" s="287"/>
      <c r="F225" s="282">
        <f t="shared" si="50"/>
        <v>4200</v>
      </c>
      <c r="G225" s="288">
        <f t="shared" ref="G225:G230" si="54">G224</f>
        <v>30000</v>
      </c>
      <c r="H225" s="289" t="s">
        <v>1279</v>
      </c>
      <c r="I225" s="326">
        <f>1400/10000</f>
        <v>0.14000000000000001</v>
      </c>
      <c r="J225" s="327"/>
      <c r="K225" s="328"/>
      <c r="L225" s="329">
        <v>1.81816902522925E-4</v>
      </c>
      <c r="M225" s="308">
        <f t="shared" ca="1" si="49"/>
        <v>9.1327701854897799E-3</v>
      </c>
      <c r="N225" s="325"/>
      <c r="O225" s="325"/>
      <c r="P225" s="325"/>
      <c r="Q225" s="309"/>
      <c r="R225" s="345"/>
      <c r="S225" s="256"/>
      <c r="T225" s="344"/>
      <c r="U225" s="344"/>
      <c r="V225" s="344"/>
      <c r="W225" s="344"/>
      <c r="X225" s="344"/>
      <c r="Y225" s="360"/>
    </row>
    <row r="226" spans="1:25" s="239" customFormat="1" ht="13.8">
      <c r="A226" s="284" t="s">
        <v>1033</v>
      </c>
      <c r="B226" s="285" t="s">
        <v>1283</v>
      </c>
      <c r="C226" s="286">
        <f t="shared" si="53"/>
        <v>7500</v>
      </c>
      <c r="D226" s="287"/>
      <c r="E226" s="287"/>
      <c r="F226" s="282">
        <f t="shared" si="50"/>
        <v>7500</v>
      </c>
      <c r="G226" s="288">
        <f>G223</f>
        <v>30000</v>
      </c>
      <c r="H226" s="289" t="s">
        <v>1279</v>
      </c>
      <c r="I226" s="326">
        <v>0.25</v>
      </c>
      <c r="J226" s="327"/>
      <c r="K226" s="328"/>
      <c r="L226" s="329">
        <v>7.5757042717885196E-3</v>
      </c>
      <c r="M226" s="308">
        <f t="shared" ca="1" si="49"/>
        <v>1.6308518188374602E-2</v>
      </c>
      <c r="N226" s="325"/>
      <c r="O226" s="325"/>
      <c r="P226" s="325"/>
      <c r="Q226" s="309"/>
      <c r="R226" s="345"/>
      <c r="S226" s="256"/>
      <c r="T226" s="344"/>
      <c r="U226" s="344"/>
      <c r="V226" s="344"/>
      <c r="W226" s="344"/>
      <c r="X226" s="344"/>
      <c r="Y226" s="360"/>
    </row>
    <row r="227" spans="1:25" s="239" customFormat="1" ht="13.8">
      <c r="A227" s="284" t="s">
        <v>1034</v>
      </c>
      <c r="B227" s="285" t="s">
        <v>1284</v>
      </c>
      <c r="C227" s="286">
        <f t="shared" si="53"/>
        <v>4500</v>
      </c>
      <c r="D227" s="287"/>
      <c r="E227" s="287"/>
      <c r="F227" s="282">
        <f t="shared" si="50"/>
        <v>4500</v>
      </c>
      <c r="G227" s="288">
        <f t="shared" si="54"/>
        <v>30000</v>
      </c>
      <c r="H227" s="289" t="s">
        <v>1279</v>
      </c>
      <c r="I227" s="326">
        <v>0.15</v>
      </c>
      <c r="J227" s="327"/>
      <c r="K227" s="328"/>
      <c r="L227" s="329">
        <v>4.5454225630731102E-3</v>
      </c>
      <c r="M227" s="308">
        <f t="shared" ca="1" si="49"/>
        <v>9.7851109130247596E-3</v>
      </c>
      <c r="N227" s="325"/>
      <c r="O227" s="325"/>
      <c r="P227" s="325"/>
      <c r="Q227" s="309"/>
      <c r="R227" s="345"/>
      <c r="S227" s="256"/>
      <c r="T227" s="344"/>
      <c r="U227" s="344"/>
      <c r="V227" s="344"/>
      <c r="W227" s="344"/>
      <c r="X227" s="344"/>
      <c r="Y227" s="360"/>
    </row>
    <row r="228" spans="1:25" s="239" customFormat="1" ht="13.8">
      <c r="A228" s="284" t="s">
        <v>1035</v>
      </c>
      <c r="B228" s="285" t="s">
        <v>1285</v>
      </c>
      <c r="C228" s="286">
        <f t="shared" si="53"/>
        <v>390</v>
      </c>
      <c r="D228" s="287"/>
      <c r="E228" s="287"/>
      <c r="F228" s="282">
        <f t="shared" si="50"/>
        <v>390</v>
      </c>
      <c r="G228" s="288">
        <f t="shared" si="54"/>
        <v>30000</v>
      </c>
      <c r="H228" s="289" t="s">
        <v>1279</v>
      </c>
      <c r="I228" s="326">
        <v>1.2999999999999999E-2</v>
      </c>
      <c r="J228" s="327"/>
      <c r="K228" s="328"/>
      <c r="L228" s="329">
        <v>4.5454225630731099E-4</v>
      </c>
      <c r="M228" s="308">
        <f t="shared" ca="1" si="49"/>
        <v>8.4804294579547896E-4</v>
      </c>
      <c r="N228" s="325"/>
      <c r="O228" s="325"/>
      <c r="P228" s="325"/>
      <c r="Q228" s="309"/>
      <c r="R228" s="345"/>
      <c r="S228" s="256"/>
      <c r="T228" s="344"/>
      <c r="U228" s="344"/>
      <c r="V228" s="344"/>
      <c r="W228" s="344"/>
      <c r="X228" s="344"/>
      <c r="Y228" s="360"/>
    </row>
    <row r="229" spans="1:25" s="239" customFormat="1" ht="13.8">
      <c r="A229" s="284" t="s">
        <v>1036</v>
      </c>
      <c r="B229" s="285" t="s">
        <v>1286</v>
      </c>
      <c r="C229" s="286">
        <f t="shared" si="53"/>
        <v>1500</v>
      </c>
      <c r="D229" s="287"/>
      <c r="E229" s="287"/>
      <c r="F229" s="282">
        <f t="shared" si="50"/>
        <v>1500</v>
      </c>
      <c r="G229" s="288">
        <f t="shared" si="54"/>
        <v>30000</v>
      </c>
      <c r="H229" s="289" t="s">
        <v>1279</v>
      </c>
      <c r="I229" s="326">
        <v>0.05</v>
      </c>
      <c r="J229" s="327"/>
      <c r="K229" s="328"/>
      <c r="L229" s="329">
        <v>1.21211268348616E-3</v>
      </c>
      <c r="M229" s="308">
        <f t="shared" ca="1" si="49"/>
        <v>3.2617036376749202E-3</v>
      </c>
      <c r="N229" s="325"/>
      <c r="O229" s="325"/>
      <c r="P229" s="325"/>
      <c r="Q229" s="309"/>
      <c r="R229" s="345"/>
      <c r="S229" s="256"/>
      <c r="T229" s="344"/>
      <c r="U229" s="344"/>
      <c r="V229" s="344"/>
      <c r="W229" s="344"/>
      <c r="X229" s="344"/>
      <c r="Y229" s="360"/>
    </row>
    <row r="230" spans="1:25" s="239" customFormat="1" ht="13.8">
      <c r="A230" s="284" t="s">
        <v>1037</v>
      </c>
      <c r="B230" s="285" t="s">
        <v>1287</v>
      </c>
      <c r="C230" s="286">
        <f t="shared" si="53"/>
        <v>1800</v>
      </c>
      <c r="D230" s="287"/>
      <c r="E230" s="287"/>
      <c r="F230" s="282">
        <f t="shared" si="50"/>
        <v>1800</v>
      </c>
      <c r="G230" s="288">
        <f t="shared" si="54"/>
        <v>30000</v>
      </c>
      <c r="H230" s="289" t="s">
        <v>1279</v>
      </c>
      <c r="I230" s="326">
        <v>0.06</v>
      </c>
      <c r="J230" s="327"/>
      <c r="K230" s="328"/>
      <c r="L230" s="329">
        <v>1.81816902522925E-3</v>
      </c>
      <c r="M230" s="308">
        <f t="shared" ca="1" si="49"/>
        <v>3.9140443652098999E-3</v>
      </c>
      <c r="N230" s="325"/>
      <c r="O230" s="325"/>
      <c r="P230" s="325"/>
      <c r="Q230" s="309"/>
      <c r="R230" s="345"/>
      <c r="S230" s="256"/>
      <c r="T230" s="344"/>
      <c r="U230" s="344"/>
      <c r="V230" s="344"/>
      <c r="W230" s="344"/>
      <c r="X230" s="344"/>
      <c r="Y230" s="360"/>
    </row>
    <row r="231" spans="1:25" s="239" customFormat="1" ht="13.8">
      <c r="A231" s="284" t="s">
        <v>1038</v>
      </c>
      <c r="B231" s="285" t="s">
        <v>1290</v>
      </c>
      <c r="C231" s="286"/>
      <c r="D231" s="287">
        <f>G231*I231</f>
        <v>0</v>
      </c>
      <c r="E231" s="287"/>
      <c r="F231" s="282">
        <f t="shared" si="50"/>
        <v>0</v>
      </c>
      <c r="G231" s="288">
        <v>0</v>
      </c>
      <c r="H231" s="289" t="s">
        <v>1291</v>
      </c>
      <c r="I231" s="326">
        <v>45</v>
      </c>
      <c r="J231" s="327"/>
      <c r="K231" s="328"/>
      <c r="L231" s="329">
        <v>1.4004588363170699E-4</v>
      </c>
      <c r="M231" s="308">
        <f t="shared" ca="1" si="49"/>
        <v>0</v>
      </c>
      <c r="N231" s="325"/>
      <c r="O231" s="325"/>
      <c r="P231" s="325"/>
      <c r="Q231" s="309"/>
      <c r="R231" s="345"/>
      <c r="S231" s="256"/>
      <c r="T231" s="344"/>
      <c r="U231" s="344"/>
      <c r="V231" s="344"/>
      <c r="W231" s="344"/>
      <c r="X231" s="344"/>
      <c r="Y231" s="360"/>
    </row>
    <row r="232" spans="1:25" s="239" customFormat="1" ht="13.8">
      <c r="A232" s="284" t="s">
        <v>1039</v>
      </c>
      <c r="B232" s="285" t="s">
        <v>1339</v>
      </c>
      <c r="C232" s="286">
        <f>G232*I232</f>
        <v>600</v>
      </c>
      <c r="D232" s="287"/>
      <c r="E232" s="287"/>
      <c r="F232" s="282"/>
      <c r="G232" s="288">
        <f>G230*50%</f>
        <v>15000</v>
      </c>
      <c r="H232" s="289" t="s">
        <v>1279</v>
      </c>
      <c r="I232" s="326">
        <f>400/10000</f>
        <v>0.04</v>
      </c>
      <c r="J232" s="327"/>
      <c r="K232" s="328"/>
      <c r="L232" s="329"/>
      <c r="M232" s="308"/>
      <c r="N232" s="325"/>
      <c r="O232" s="325"/>
      <c r="P232" s="325"/>
      <c r="Q232" s="309"/>
      <c r="R232" s="345"/>
      <c r="S232" s="256"/>
      <c r="T232" s="344"/>
      <c r="U232" s="344"/>
      <c r="V232" s="344"/>
      <c r="W232" s="344"/>
      <c r="X232" s="344"/>
      <c r="Y232" s="360"/>
    </row>
    <row r="233" spans="1:25" s="239" customFormat="1" ht="13.8">
      <c r="A233" s="284" t="s">
        <v>1041</v>
      </c>
      <c r="B233" s="285" t="s">
        <v>1292</v>
      </c>
      <c r="C233" s="286">
        <f>G233*I233</f>
        <v>180</v>
      </c>
      <c r="D233" s="287"/>
      <c r="E233" s="287"/>
      <c r="F233" s="282">
        <f t="shared" si="50"/>
        <v>180</v>
      </c>
      <c r="G233" s="288">
        <f>G230</f>
        <v>30000</v>
      </c>
      <c r="H233" s="289" t="s">
        <v>1279</v>
      </c>
      <c r="I233" s="326">
        <v>6.0000000000000001E-3</v>
      </c>
      <c r="J233" s="327"/>
      <c r="K233" s="328"/>
      <c r="L233" s="329">
        <v>1.81816902522925E-4</v>
      </c>
      <c r="M233" s="308">
        <f t="shared" ref="M233:M243" ca="1" si="55">F233/$F$378*100%</f>
        <v>3.9140443652099002E-4</v>
      </c>
      <c r="N233" s="325"/>
      <c r="O233" s="325"/>
      <c r="P233" s="325"/>
      <c r="Q233" s="309"/>
      <c r="R233" s="345"/>
      <c r="S233" s="256"/>
      <c r="T233" s="344"/>
      <c r="U233" s="344"/>
      <c r="V233" s="344"/>
      <c r="W233" s="344"/>
      <c r="X233" s="344"/>
      <c r="Y233" s="360"/>
    </row>
    <row r="234" spans="1:25" s="239" customFormat="1" ht="13.8">
      <c r="A234" s="284" t="s">
        <v>1042</v>
      </c>
      <c r="B234" s="285" t="s">
        <v>1293</v>
      </c>
      <c r="C234" s="286">
        <f>G234*I234</f>
        <v>60</v>
      </c>
      <c r="D234" s="287"/>
      <c r="E234" s="287"/>
      <c r="F234" s="282">
        <f t="shared" si="50"/>
        <v>60</v>
      </c>
      <c r="G234" s="288">
        <f>G233</f>
        <v>30000</v>
      </c>
      <c r="H234" s="289" t="s">
        <v>1279</v>
      </c>
      <c r="I234" s="326">
        <v>2E-3</v>
      </c>
      <c r="J234" s="327"/>
      <c r="K234" s="328"/>
      <c r="L234" s="329">
        <v>6.0605634174308201E-5</v>
      </c>
      <c r="M234" s="308">
        <f t="shared" ca="1" si="55"/>
        <v>1.3046814550699701E-4</v>
      </c>
      <c r="N234" s="325"/>
      <c r="O234" s="325"/>
      <c r="P234" s="325"/>
      <c r="Q234" s="309"/>
      <c r="R234" s="345"/>
      <c r="S234" s="256"/>
      <c r="T234" s="344"/>
      <c r="U234" s="344"/>
      <c r="V234" s="344"/>
      <c r="W234" s="344"/>
      <c r="X234" s="344"/>
      <c r="Y234" s="360"/>
    </row>
    <row r="235" spans="1:25" s="247" customFormat="1" ht="13.8">
      <c r="A235" s="295">
        <v>3.2</v>
      </c>
      <c r="B235" s="274" t="s">
        <v>1340</v>
      </c>
      <c r="C235" s="275">
        <f>C236+C248</f>
        <v>37322.074840000001</v>
      </c>
      <c r="D235" s="275">
        <f>D236+D248</f>
        <v>450</v>
      </c>
      <c r="E235" s="275">
        <f>E236+E248</f>
        <v>0</v>
      </c>
      <c r="F235" s="276">
        <f t="shared" si="50"/>
        <v>37772.074840000001</v>
      </c>
      <c r="G235" s="277"/>
      <c r="H235" s="278" t="s">
        <v>1279</v>
      </c>
      <c r="I235" s="318"/>
      <c r="J235" s="333"/>
      <c r="K235" s="334"/>
      <c r="L235" s="335"/>
      <c r="M235" s="322">
        <f t="shared" ca="1" si="55"/>
        <v>8.2134209272104894E-2</v>
      </c>
      <c r="N235" s="323"/>
      <c r="O235" s="323"/>
      <c r="P235" s="323"/>
      <c r="Q235" s="352"/>
      <c r="R235" s="353"/>
      <c r="S235" s="356" t="s">
        <v>1310</v>
      </c>
      <c r="T235" s="357"/>
      <c r="U235" s="357"/>
      <c r="V235" s="357"/>
      <c r="W235" s="357"/>
      <c r="X235" s="357"/>
      <c r="Y235" s="365"/>
    </row>
    <row r="236" spans="1:25" s="247" customFormat="1" ht="13.8">
      <c r="A236" s="295" t="s">
        <v>345</v>
      </c>
      <c r="B236" s="274" t="s">
        <v>1337</v>
      </c>
      <c r="C236" s="275">
        <f>SUM(C237:C247)</f>
        <v>23402.074840000001</v>
      </c>
      <c r="D236" s="275">
        <f>SUM(D238:D247)</f>
        <v>450</v>
      </c>
      <c r="E236" s="275">
        <f>SUM(E238:E247)</f>
        <v>0</v>
      </c>
      <c r="F236" s="276">
        <f t="shared" si="50"/>
        <v>23852.074840000001</v>
      </c>
      <c r="G236" s="277">
        <v>35000</v>
      </c>
      <c r="H236" s="278" t="s">
        <v>1279</v>
      </c>
      <c r="I236" s="318">
        <f>F236/G236</f>
        <v>0.68148785257142863</v>
      </c>
      <c r="J236" s="333"/>
      <c r="K236" s="334"/>
      <c r="L236" s="335"/>
      <c r="M236" s="322">
        <f t="shared" ca="1" si="55"/>
        <v>5.1865599514481601E-2</v>
      </c>
      <c r="N236" s="323"/>
      <c r="O236" s="323"/>
      <c r="P236" s="323"/>
      <c r="Q236" s="352"/>
      <c r="R236" s="353"/>
      <c r="S236" s="356"/>
      <c r="T236" s="357"/>
      <c r="U236" s="357"/>
      <c r="V236" s="357"/>
      <c r="W236" s="357"/>
      <c r="X236" s="357"/>
      <c r="Y236" s="365"/>
    </row>
    <row r="237" spans="1:25" s="243" customFormat="1" ht="13.8">
      <c r="A237" s="279" t="s">
        <v>1044</v>
      </c>
      <c r="B237" s="280" t="str">
        <f>B212</f>
        <v>场平</v>
      </c>
      <c r="C237" s="281">
        <f>G237*I237</f>
        <v>92.074840000000009</v>
      </c>
      <c r="D237" s="281"/>
      <c r="E237" s="281"/>
      <c r="F237" s="282">
        <f t="shared" si="50"/>
        <v>92.074840000000009</v>
      </c>
      <c r="G237" s="283">
        <v>4603.7420000000002</v>
      </c>
      <c r="H237" s="260" t="str">
        <f>H236</f>
        <v>㎡</v>
      </c>
      <c r="I237" s="324">
        <f>I212</f>
        <v>0.02</v>
      </c>
      <c r="J237" s="331"/>
      <c r="K237" s="336"/>
      <c r="L237" s="332"/>
      <c r="M237" s="308">
        <f t="shared" ca="1" si="55"/>
        <v>2.0021389371089099E-4</v>
      </c>
      <c r="N237" s="325"/>
      <c r="O237" s="325"/>
      <c r="P237" s="325"/>
      <c r="Q237" s="309"/>
      <c r="R237" s="345"/>
      <c r="S237" s="343"/>
      <c r="T237" s="341"/>
      <c r="U237" s="341"/>
      <c r="V237" s="341"/>
      <c r="W237" s="341"/>
      <c r="X237" s="341"/>
      <c r="Y237" s="364"/>
    </row>
    <row r="238" spans="1:25" s="239" customFormat="1" ht="13.8">
      <c r="A238" s="284" t="s">
        <v>1045</v>
      </c>
      <c r="B238" s="285" t="s">
        <v>1281</v>
      </c>
      <c r="C238" s="286">
        <f>G238*I238</f>
        <v>175</v>
      </c>
      <c r="D238" s="287"/>
      <c r="E238" s="287"/>
      <c r="F238" s="282">
        <f t="shared" si="50"/>
        <v>175</v>
      </c>
      <c r="G238" s="288">
        <f>G236</f>
        <v>35000</v>
      </c>
      <c r="H238" s="289" t="s">
        <v>1279</v>
      </c>
      <c r="I238" s="326">
        <v>5.0000000000000001E-3</v>
      </c>
      <c r="J238" s="327"/>
      <c r="K238" s="328"/>
      <c r="L238" s="329">
        <v>1.5151408543577E-4</v>
      </c>
      <c r="M238" s="308">
        <f t="shared" ca="1" si="55"/>
        <v>3.80532091062074E-4</v>
      </c>
      <c r="N238" s="325"/>
      <c r="O238" s="325"/>
      <c r="P238" s="325"/>
      <c r="Q238" s="309"/>
      <c r="R238" s="345"/>
      <c r="S238" s="256"/>
      <c r="T238" s="344"/>
      <c r="U238" s="344"/>
      <c r="V238" s="344"/>
      <c r="W238" s="344"/>
      <c r="X238" s="344"/>
      <c r="Y238" s="360"/>
    </row>
    <row r="239" spans="1:25" s="239" customFormat="1" ht="13.8">
      <c r="A239" s="279" t="s">
        <v>1046</v>
      </c>
      <c r="B239" s="285" t="s">
        <v>1282</v>
      </c>
      <c r="C239" s="286">
        <f t="shared" ref="C239:C244" si="56">G239*I239</f>
        <v>4900.0000000000009</v>
      </c>
      <c r="D239" s="287"/>
      <c r="E239" s="287"/>
      <c r="F239" s="282">
        <f t="shared" si="50"/>
        <v>4900.0000000000009</v>
      </c>
      <c r="G239" s="288">
        <f t="shared" ref="G239:G244" si="57">G238</f>
        <v>35000</v>
      </c>
      <c r="H239" s="289" t="s">
        <v>1279</v>
      </c>
      <c r="I239" s="326">
        <f>1400/10000</f>
        <v>0.14000000000000001</v>
      </c>
      <c r="J239" s="327"/>
      <c r="K239" s="328"/>
      <c r="L239" s="329">
        <v>1.81816902522925E-4</v>
      </c>
      <c r="M239" s="308">
        <f t="shared" ca="1" si="55"/>
        <v>1.06548985497381E-2</v>
      </c>
      <c r="N239" s="325"/>
      <c r="O239" s="325"/>
      <c r="P239" s="325"/>
      <c r="Q239" s="309"/>
      <c r="R239" s="345"/>
      <c r="S239" s="256"/>
      <c r="T239" s="344"/>
      <c r="U239" s="344"/>
      <c r="V239" s="344"/>
      <c r="W239" s="344"/>
      <c r="X239" s="344"/>
      <c r="Y239" s="360"/>
    </row>
    <row r="240" spans="1:25" s="239" customFormat="1" ht="13.8">
      <c r="A240" s="284" t="s">
        <v>1047</v>
      </c>
      <c r="B240" s="285" t="s">
        <v>1283</v>
      </c>
      <c r="C240" s="286">
        <f t="shared" si="56"/>
        <v>8750</v>
      </c>
      <c r="D240" s="287"/>
      <c r="E240" s="287"/>
      <c r="F240" s="282">
        <f t="shared" si="50"/>
        <v>8750</v>
      </c>
      <c r="G240" s="288">
        <f t="shared" si="57"/>
        <v>35000</v>
      </c>
      <c r="H240" s="289" t="s">
        <v>1279</v>
      </c>
      <c r="I240" s="326">
        <v>0.25</v>
      </c>
      <c r="J240" s="327"/>
      <c r="K240" s="328"/>
      <c r="L240" s="329">
        <v>7.5757042717885196E-3</v>
      </c>
      <c r="M240" s="308">
        <f t="shared" ca="1" si="55"/>
        <v>1.9026604553103701E-2</v>
      </c>
      <c r="N240" s="325"/>
      <c r="O240" s="325"/>
      <c r="P240" s="325"/>
      <c r="Q240" s="309"/>
      <c r="R240" s="345"/>
      <c r="S240" s="256"/>
      <c r="T240" s="344"/>
      <c r="U240" s="344"/>
      <c r="V240" s="344"/>
      <c r="W240" s="344"/>
      <c r="X240" s="344"/>
      <c r="Y240" s="360"/>
    </row>
    <row r="241" spans="1:25" s="239" customFormat="1" ht="13.8">
      <c r="A241" s="279" t="s">
        <v>1048</v>
      </c>
      <c r="B241" s="285" t="s">
        <v>1284</v>
      </c>
      <c r="C241" s="286">
        <f t="shared" si="56"/>
        <v>5250</v>
      </c>
      <c r="D241" s="287"/>
      <c r="E241" s="287"/>
      <c r="F241" s="282">
        <f t="shared" si="50"/>
        <v>5250</v>
      </c>
      <c r="G241" s="288">
        <f t="shared" si="57"/>
        <v>35000</v>
      </c>
      <c r="H241" s="289" t="s">
        <v>1279</v>
      </c>
      <c r="I241" s="326">
        <v>0.15</v>
      </c>
      <c r="J241" s="327"/>
      <c r="K241" s="328"/>
      <c r="L241" s="329">
        <v>4.5454225630731102E-3</v>
      </c>
      <c r="M241" s="308">
        <f t="shared" ca="1" si="55"/>
        <v>1.1415962731862199E-2</v>
      </c>
      <c r="N241" s="325"/>
      <c r="O241" s="325"/>
      <c r="P241" s="325"/>
      <c r="Q241" s="309"/>
      <c r="R241" s="345"/>
      <c r="S241" s="256"/>
      <c r="T241" s="344"/>
      <c r="U241" s="344"/>
      <c r="V241" s="344"/>
      <c r="W241" s="344"/>
      <c r="X241" s="344"/>
      <c r="Y241" s="360"/>
    </row>
    <row r="242" spans="1:25" s="239" customFormat="1" ht="13.8">
      <c r="A242" s="284" t="s">
        <v>1049</v>
      </c>
      <c r="B242" s="285" t="s">
        <v>1285</v>
      </c>
      <c r="C242" s="286">
        <f t="shared" si="56"/>
        <v>455</v>
      </c>
      <c r="D242" s="287"/>
      <c r="E242" s="287"/>
      <c r="F242" s="282">
        <f t="shared" si="50"/>
        <v>455</v>
      </c>
      <c r="G242" s="288">
        <f t="shared" si="57"/>
        <v>35000</v>
      </c>
      <c r="H242" s="289" t="s">
        <v>1279</v>
      </c>
      <c r="I242" s="326">
        <v>1.2999999999999999E-2</v>
      </c>
      <c r="J242" s="327"/>
      <c r="K242" s="328"/>
      <c r="L242" s="329">
        <v>4.5454225630731099E-4</v>
      </c>
      <c r="M242" s="308">
        <f t="shared" ca="1" si="55"/>
        <v>9.8938343676139196E-4</v>
      </c>
      <c r="N242" s="325"/>
      <c r="O242" s="325"/>
      <c r="P242" s="325"/>
      <c r="Q242" s="309"/>
      <c r="R242" s="345"/>
      <c r="S242" s="256"/>
      <c r="T242" s="344"/>
      <c r="U242" s="344"/>
      <c r="V242" s="344"/>
      <c r="W242" s="344"/>
      <c r="X242" s="344"/>
      <c r="Y242" s="360"/>
    </row>
    <row r="243" spans="1:25" s="239" customFormat="1" ht="13.8">
      <c r="A243" s="279" t="s">
        <v>1050</v>
      </c>
      <c r="B243" s="285" t="s">
        <v>1286</v>
      </c>
      <c r="C243" s="286">
        <f t="shared" si="56"/>
        <v>1400</v>
      </c>
      <c r="D243" s="287"/>
      <c r="E243" s="287"/>
      <c r="F243" s="282">
        <f t="shared" si="50"/>
        <v>1400</v>
      </c>
      <c r="G243" s="288">
        <f t="shared" si="57"/>
        <v>35000</v>
      </c>
      <c r="H243" s="289" t="s">
        <v>1279</v>
      </c>
      <c r="I243" s="326">
        <v>0.04</v>
      </c>
      <c r="J243" s="327"/>
      <c r="K243" s="328"/>
      <c r="L243" s="329">
        <v>1.21211268348616E-3</v>
      </c>
      <c r="M243" s="308">
        <f t="shared" ca="1" si="55"/>
        <v>3.0442567284965898E-3</v>
      </c>
      <c r="N243" s="325"/>
      <c r="O243" s="325"/>
      <c r="P243" s="325"/>
      <c r="Q243" s="309"/>
      <c r="R243" s="345"/>
      <c r="S243" s="256"/>
      <c r="T243" s="344"/>
      <c r="U243" s="344"/>
      <c r="V243" s="344"/>
      <c r="W243" s="344"/>
      <c r="X243" s="344"/>
      <c r="Y243" s="360"/>
    </row>
    <row r="244" spans="1:25" s="239" customFormat="1" ht="13.8">
      <c r="A244" s="284" t="s">
        <v>1051</v>
      </c>
      <c r="B244" s="285" t="s">
        <v>1287</v>
      </c>
      <c r="C244" s="286">
        <f t="shared" si="56"/>
        <v>2100</v>
      </c>
      <c r="D244" s="287"/>
      <c r="E244" s="287"/>
      <c r="F244" s="282">
        <f t="shared" si="50"/>
        <v>2100</v>
      </c>
      <c r="G244" s="288">
        <f t="shared" si="57"/>
        <v>35000</v>
      </c>
      <c r="H244" s="289" t="s">
        <v>1279</v>
      </c>
      <c r="I244" s="326">
        <v>0.06</v>
      </c>
      <c r="J244" s="327"/>
      <c r="K244" s="328"/>
      <c r="L244" s="329">
        <v>1.81816902522925E-3</v>
      </c>
      <c r="M244" s="308">
        <f t="shared" ref="M244" ca="1" si="58">F244/$F$378*100%</f>
        <v>4.56638509274489E-3</v>
      </c>
      <c r="N244" s="325"/>
      <c r="O244" s="325"/>
      <c r="P244" s="325"/>
      <c r="Q244" s="309"/>
      <c r="R244" s="345"/>
      <c r="S244" s="256"/>
      <c r="T244" s="344"/>
      <c r="U244" s="344"/>
      <c r="V244" s="344"/>
      <c r="W244" s="344"/>
      <c r="X244" s="344"/>
      <c r="Y244" s="360"/>
    </row>
    <row r="245" spans="1:25" s="239" customFormat="1" ht="13.8">
      <c r="A245" s="279" t="s">
        <v>1052</v>
      </c>
      <c r="B245" s="285" t="s">
        <v>1290</v>
      </c>
      <c r="C245" s="286"/>
      <c r="D245" s="287">
        <f>G245*I245</f>
        <v>450</v>
      </c>
      <c r="E245" s="287"/>
      <c r="F245" s="282">
        <f t="shared" si="50"/>
        <v>450</v>
      </c>
      <c r="G245" s="288">
        <v>10</v>
      </c>
      <c r="H245" s="289" t="s">
        <v>1291</v>
      </c>
      <c r="I245" s="326">
        <v>45</v>
      </c>
      <c r="J245" s="327"/>
      <c r="K245" s="328"/>
      <c r="L245" s="329">
        <v>1.4004588363170699E-4</v>
      </c>
      <c r="M245" s="308">
        <f t="shared" ref="M245:M261" ca="1" si="59">F245/$F$378*100%</f>
        <v>9.7851109130247605E-4</v>
      </c>
      <c r="N245" s="325"/>
      <c r="O245" s="325"/>
      <c r="P245" s="325"/>
      <c r="Q245" s="309"/>
      <c r="R245" s="345"/>
      <c r="S245" s="256"/>
      <c r="T245" s="344"/>
      <c r="U245" s="344"/>
      <c r="V245" s="344"/>
      <c r="W245" s="344"/>
      <c r="X245" s="344"/>
      <c r="Y245" s="360"/>
    </row>
    <row r="246" spans="1:25" s="239" customFormat="1" ht="13.8">
      <c r="A246" s="284" t="s">
        <v>1053</v>
      </c>
      <c r="B246" s="285" t="s">
        <v>1292</v>
      </c>
      <c r="C246" s="286">
        <f>G246*I246</f>
        <v>210</v>
      </c>
      <c r="D246" s="287"/>
      <c r="E246" s="287"/>
      <c r="F246" s="282">
        <f t="shared" si="50"/>
        <v>210</v>
      </c>
      <c r="G246" s="288">
        <f>G244</f>
        <v>35000</v>
      </c>
      <c r="H246" s="289" t="s">
        <v>1279</v>
      </c>
      <c r="I246" s="326">
        <v>6.0000000000000001E-3</v>
      </c>
      <c r="J246" s="327"/>
      <c r="K246" s="328"/>
      <c r="L246" s="329">
        <v>1.81816902522925E-4</v>
      </c>
      <c r="M246" s="308">
        <f t="shared" ca="1" si="59"/>
        <v>4.56638509274489E-4</v>
      </c>
      <c r="N246" s="325"/>
      <c r="O246" s="325"/>
      <c r="P246" s="325"/>
      <c r="Q246" s="309"/>
      <c r="R246" s="345"/>
      <c r="S246" s="256"/>
      <c r="T246" s="344"/>
      <c r="U246" s="344"/>
      <c r="V246" s="344"/>
      <c r="W246" s="344"/>
      <c r="X246" s="344"/>
      <c r="Y246" s="360"/>
    </row>
    <row r="247" spans="1:25" s="239" customFormat="1" ht="13.8">
      <c r="A247" s="279" t="s">
        <v>1054</v>
      </c>
      <c r="B247" s="285" t="s">
        <v>1293</v>
      </c>
      <c r="C247" s="286">
        <f>G247*I247</f>
        <v>70</v>
      </c>
      <c r="D247" s="287"/>
      <c r="E247" s="287"/>
      <c r="F247" s="282">
        <f t="shared" si="50"/>
        <v>70</v>
      </c>
      <c r="G247" s="288">
        <f>G246</f>
        <v>35000</v>
      </c>
      <c r="H247" s="289" t="s">
        <v>1279</v>
      </c>
      <c r="I247" s="326">
        <v>2E-3</v>
      </c>
      <c r="J247" s="327"/>
      <c r="K247" s="328"/>
      <c r="L247" s="329">
        <v>6.0605634174308201E-5</v>
      </c>
      <c r="M247" s="308">
        <f t="shared" ca="1" si="59"/>
        <v>1.5221283642482999E-4</v>
      </c>
      <c r="N247" s="325"/>
      <c r="O247" s="325"/>
      <c r="P247" s="325"/>
      <c r="Q247" s="309"/>
      <c r="R247" s="345"/>
      <c r="S247" s="256"/>
      <c r="T247" s="344"/>
      <c r="U247" s="344"/>
      <c r="V247" s="344"/>
      <c r="W247" s="344"/>
      <c r="X247" s="344"/>
      <c r="Y247" s="360"/>
    </row>
    <row r="248" spans="1:25" s="247" customFormat="1" ht="13.8">
      <c r="A248" s="295" t="s">
        <v>346</v>
      </c>
      <c r="B248" s="274" t="s">
        <v>1338</v>
      </c>
      <c r="C248" s="275">
        <f>SUM(C249:C259)</f>
        <v>13920</v>
      </c>
      <c r="D248" s="275">
        <f>SUM(D249:D259)</f>
        <v>0</v>
      </c>
      <c r="E248" s="275">
        <f>SUM(E249:E259)</f>
        <v>0</v>
      </c>
      <c r="F248" s="276">
        <f t="shared" si="50"/>
        <v>13920</v>
      </c>
      <c r="G248" s="277">
        <v>20000</v>
      </c>
      <c r="H248" s="278" t="s">
        <v>1279</v>
      </c>
      <c r="I248" s="318">
        <f>F248/G248</f>
        <v>0.69599999999999995</v>
      </c>
      <c r="J248" s="333"/>
      <c r="K248" s="334"/>
      <c r="L248" s="335"/>
      <c r="M248" s="322">
        <f t="shared" ca="1" si="59"/>
        <v>3.0268609757623299E-2</v>
      </c>
      <c r="N248" s="323"/>
      <c r="O248" s="323"/>
      <c r="P248" s="323"/>
      <c r="Q248" s="352"/>
      <c r="R248" s="353"/>
      <c r="S248" s="356"/>
      <c r="T248" s="357"/>
      <c r="U248" s="357"/>
      <c r="V248" s="357"/>
      <c r="W248" s="357"/>
      <c r="X248" s="357"/>
      <c r="Y248" s="365"/>
    </row>
    <row r="249" spans="1:25" s="239" customFormat="1" ht="13.8">
      <c r="A249" s="284" t="s">
        <v>1056</v>
      </c>
      <c r="B249" s="285" t="s">
        <v>1281</v>
      </c>
      <c r="C249" s="286">
        <f>G249*I249</f>
        <v>100</v>
      </c>
      <c r="D249" s="287"/>
      <c r="E249" s="287"/>
      <c r="F249" s="282">
        <f t="shared" si="50"/>
        <v>100</v>
      </c>
      <c r="G249" s="288">
        <f>G248</f>
        <v>20000</v>
      </c>
      <c r="H249" s="289" t="s">
        <v>1279</v>
      </c>
      <c r="I249" s="326">
        <v>5.0000000000000001E-3</v>
      </c>
      <c r="J249" s="327"/>
      <c r="K249" s="328"/>
      <c r="L249" s="329">
        <v>1.5151408543577E-4</v>
      </c>
      <c r="M249" s="308">
        <f t="shared" ca="1" si="59"/>
        <v>2.1744690917832799E-4</v>
      </c>
      <c r="N249" s="325"/>
      <c r="O249" s="325"/>
      <c r="P249" s="325"/>
      <c r="Q249" s="309"/>
      <c r="R249" s="345"/>
      <c r="S249" s="256"/>
      <c r="T249" s="344"/>
      <c r="U249" s="344"/>
      <c r="V249" s="344"/>
      <c r="W249" s="344"/>
      <c r="X249" s="344"/>
      <c r="Y249" s="360"/>
    </row>
    <row r="250" spans="1:25" s="239" customFormat="1" ht="13.8">
      <c r="A250" s="284" t="s">
        <v>1057</v>
      </c>
      <c r="B250" s="285" t="s">
        <v>1282</v>
      </c>
      <c r="C250" s="286">
        <f t="shared" ref="C250:C255" si="60">G250*I250</f>
        <v>2800.0000000000005</v>
      </c>
      <c r="D250" s="287"/>
      <c r="E250" s="287"/>
      <c r="F250" s="282">
        <f t="shared" si="50"/>
        <v>2800.0000000000005</v>
      </c>
      <c r="G250" s="288">
        <f>G249</f>
        <v>20000</v>
      </c>
      <c r="H250" s="289" t="s">
        <v>1279</v>
      </c>
      <c r="I250" s="326">
        <f>1400/10000</f>
        <v>0.14000000000000001</v>
      </c>
      <c r="J250" s="327"/>
      <c r="K250" s="328"/>
      <c r="L250" s="329">
        <v>1.81816902522925E-4</v>
      </c>
      <c r="M250" s="308">
        <f t="shared" ca="1" si="59"/>
        <v>6.0885134569931797E-3</v>
      </c>
      <c r="N250" s="325"/>
      <c r="O250" s="325"/>
      <c r="P250" s="325"/>
      <c r="Q250" s="309"/>
      <c r="R250" s="345"/>
      <c r="S250" s="256"/>
      <c r="T250" s="344"/>
      <c r="U250" s="344"/>
      <c r="V250" s="344"/>
      <c r="W250" s="344"/>
      <c r="X250" s="344"/>
      <c r="Y250" s="360"/>
    </row>
    <row r="251" spans="1:25" s="239" customFormat="1" ht="13.8">
      <c r="A251" s="284" t="s">
        <v>1058</v>
      </c>
      <c r="B251" s="285" t="s">
        <v>1283</v>
      </c>
      <c r="C251" s="286">
        <f t="shared" si="60"/>
        <v>5000</v>
      </c>
      <c r="D251" s="287"/>
      <c r="E251" s="287"/>
      <c r="F251" s="282">
        <f t="shared" si="50"/>
        <v>5000</v>
      </c>
      <c r="G251" s="288">
        <f>G248</f>
        <v>20000</v>
      </c>
      <c r="H251" s="289" t="s">
        <v>1279</v>
      </c>
      <c r="I251" s="326">
        <v>0.25</v>
      </c>
      <c r="J251" s="327"/>
      <c r="K251" s="328"/>
      <c r="L251" s="329">
        <v>7.5757042717885196E-3</v>
      </c>
      <c r="M251" s="308">
        <f t="shared" ca="1" si="59"/>
        <v>1.08723454589164E-2</v>
      </c>
      <c r="N251" s="325"/>
      <c r="O251" s="325"/>
      <c r="P251" s="325"/>
      <c r="Q251" s="309"/>
      <c r="R251" s="345"/>
      <c r="S251" s="256"/>
      <c r="T251" s="344"/>
      <c r="U251" s="344"/>
      <c r="V251" s="344"/>
      <c r="W251" s="344"/>
      <c r="X251" s="344"/>
      <c r="Y251" s="360"/>
    </row>
    <row r="252" spans="1:25" s="239" customFormat="1" ht="13.8">
      <c r="A252" s="284" t="s">
        <v>1059</v>
      </c>
      <c r="B252" s="285" t="s">
        <v>1284</v>
      </c>
      <c r="C252" s="286">
        <f t="shared" si="60"/>
        <v>3000</v>
      </c>
      <c r="D252" s="287"/>
      <c r="E252" s="287"/>
      <c r="F252" s="282">
        <f t="shared" si="50"/>
        <v>3000</v>
      </c>
      <c r="G252" s="288">
        <f>G251</f>
        <v>20000</v>
      </c>
      <c r="H252" s="289" t="s">
        <v>1279</v>
      </c>
      <c r="I252" s="326">
        <v>0.15</v>
      </c>
      <c r="J252" s="327"/>
      <c r="K252" s="328"/>
      <c r="L252" s="329">
        <v>4.5454225630731102E-3</v>
      </c>
      <c r="M252" s="308">
        <f t="shared" ca="1" si="59"/>
        <v>6.5234072753498403E-3</v>
      </c>
      <c r="N252" s="325"/>
      <c r="O252" s="325"/>
      <c r="P252" s="325"/>
      <c r="Q252" s="309"/>
      <c r="R252" s="345"/>
      <c r="S252" s="256"/>
      <c r="T252" s="344"/>
      <c r="U252" s="344"/>
      <c r="V252" s="344"/>
      <c r="W252" s="344"/>
      <c r="X252" s="344"/>
      <c r="Y252" s="360"/>
    </row>
    <row r="253" spans="1:25" s="239" customFormat="1" ht="13.8">
      <c r="A253" s="284" t="s">
        <v>1060</v>
      </c>
      <c r="B253" s="285" t="s">
        <v>1285</v>
      </c>
      <c r="C253" s="286">
        <f t="shared" si="60"/>
        <v>260</v>
      </c>
      <c r="D253" s="287"/>
      <c r="E253" s="287"/>
      <c r="F253" s="282">
        <f t="shared" si="50"/>
        <v>260</v>
      </c>
      <c r="G253" s="288">
        <f>G252</f>
        <v>20000</v>
      </c>
      <c r="H253" s="289" t="s">
        <v>1279</v>
      </c>
      <c r="I253" s="326">
        <v>1.2999999999999999E-2</v>
      </c>
      <c r="J253" s="327"/>
      <c r="K253" s="328"/>
      <c r="L253" s="329">
        <v>4.5454225630731099E-4</v>
      </c>
      <c r="M253" s="308">
        <f t="shared" ca="1" si="59"/>
        <v>5.6536196386365296E-4</v>
      </c>
      <c r="N253" s="325"/>
      <c r="O253" s="325"/>
      <c r="P253" s="325"/>
      <c r="Q253" s="309"/>
      <c r="R253" s="345"/>
      <c r="S253" s="256"/>
      <c r="T253" s="344"/>
      <c r="U253" s="344"/>
      <c r="V253" s="344"/>
      <c r="W253" s="344"/>
      <c r="X253" s="344"/>
      <c r="Y253" s="360"/>
    </row>
    <row r="254" spans="1:25" s="239" customFormat="1" ht="13.8">
      <c r="A254" s="284" t="s">
        <v>1061</v>
      </c>
      <c r="B254" s="285" t="s">
        <v>1286</v>
      </c>
      <c r="C254" s="286">
        <f t="shared" si="60"/>
        <v>1000</v>
      </c>
      <c r="D254" s="287"/>
      <c r="E254" s="287"/>
      <c r="F254" s="282">
        <f t="shared" si="50"/>
        <v>1000</v>
      </c>
      <c r="G254" s="288">
        <f>G253</f>
        <v>20000</v>
      </c>
      <c r="H254" s="289" t="s">
        <v>1279</v>
      </c>
      <c r="I254" s="326">
        <v>0.05</v>
      </c>
      <c r="J254" s="327"/>
      <c r="K254" s="328"/>
      <c r="L254" s="329">
        <v>1.21211268348616E-3</v>
      </c>
      <c r="M254" s="308">
        <f t="shared" ca="1" si="59"/>
        <v>2.1744690917832798E-3</v>
      </c>
      <c r="N254" s="325"/>
      <c r="O254" s="325"/>
      <c r="P254" s="325"/>
      <c r="Q254" s="309"/>
      <c r="R254" s="345"/>
      <c r="S254" s="256"/>
      <c r="T254" s="344"/>
      <c r="U254" s="344"/>
      <c r="V254" s="344"/>
      <c r="W254" s="344"/>
      <c r="X254" s="344"/>
      <c r="Y254" s="360"/>
    </row>
    <row r="255" spans="1:25" s="239" customFormat="1" ht="13.8">
      <c r="A255" s="284" t="s">
        <v>1062</v>
      </c>
      <c r="B255" s="285" t="s">
        <v>1287</v>
      </c>
      <c r="C255" s="286">
        <f t="shared" si="60"/>
        <v>1200</v>
      </c>
      <c r="D255" s="287"/>
      <c r="E255" s="287"/>
      <c r="F255" s="282">
        <f t="shared" si="50"/>
        <v>1200</v>
      </c>
      <c r="G255" s="288">
        <f>G254</f>
        <v>20000</v>
      </c>
      <c r="H255" s="289" t="s">
        <v>1279</v>
      </c>
      <c r="I255" s="326">
        <v>0.06</v>
      </c>
      <c r="J255" s="327"/>
      <c r="K255" s="328"/>
      <c r="L255" s="329">
        <v>1.81816902522925E-3</v>
      </c>
      <c r="M255" s="308">
        <f t="shared" ca="1" si="59"/>
        <v>2.60936291013994E-3</v>
      </c>
      <c r="N255" s="325"/>
      <c r="O255" s="325"/>
      <c r="P255" s="325"/>
      <c r="Q255" s="309"/>
      <c r="R255" s="345"/>
      <c r="S255" s="256"/>
      <c r="T255" s="344"/>
      <c r="U255" s="344"/>
      <c r="V255" s="344"/>
      <c r="W255" s="344"/>
      <c r="X255" s="344"/>
      <c r="Y255" s="360"/>
    </row>
    <row r="256" spans="1:25" s="239" customFormat="1" ht="13.8">
      <c r="A256" s="284" t="s">
        <v>1063</v>
      </c>
      <c r="B256" s="285" t="s">
        <v>1290</v>
      </c>
      <c r="C256" s="286"/>
      <c r="D256" s="287">
        <f>G256*I256</f>
        <v>0</v>
      </c>
      <c r="E256" s="287"/>
      <c r="F256" s="282">
        <f t="shared" si="50"/>
        <v>0</v>
      </c>
      <c r="G256" s="288">
        <v>0</v>
      </c>
      <c r="H256" s="289" t="s">
        <v>1291</v>
      </c>
      <c r="I256" s="326">
        <v>45</v>
      </c>
      <c r="J256" s="327"/>
      <c r="K256" s="328"/>
      <c r="L256" s="329">
        <v>1.4004588363170699E-4</v>
      </c>
      <c r="M256" s="308">
        <f t="shared" ca="1" si="59"/>
        <v>0</v>
      </c>
      <c r="N256" s="325"/>
      <c r="O256" s="325"/>
      <c r="P256" s="325"/>
      <c r="Q256" s="309"/>
      <c r="R256" s="345"/>
      <c r="S256" s="256"/>
      <c r="T256" s="344"/>
      <c r="U256" s="344"/>
      <c r="V256" s="344"/>
      <c r="W256" s="344"/>
      <c r="X256" s="344"/>
      <c r="Y256" s="360"/>
    </row>
    <row r="257" spans="1:25" s="239" customFormat="1" ht="13.8">
      <c r="A257" s="284" t="s">
        <v>1064</v>
      </c>
      <c r="B257" s="285" t="s">
        <v>1339</v>
      </c>
      <c r="C257" s="286">
        <f>G257*I257</f>
        <v>400</v>
      </c>
      <c r="D257" s="287"/>
      <c r="E257" s="287"/>
      <c r="F257" s="282"/>
      <c r="G257" s="288">
        <f>G255*50%</f>
        <v>10000</v>
      </c>
      <c r="H257" s="289" t="s">
        <v>1279</v>
      </c>
      <c r="I257" s="326">
        <f>400/10000</f>
        <v>0.04</v>
      </c>
      <c r="J257" s="327"/>
      <c r="K257" s="328"/>
      <c r="L257" s="329"/>
      <c r="M257" s="308">
        <f t="shared" ca="1" si="59"/>
        <v>0</v>
      </c>
      <c r="N257" s="325"/>
      <c r="O257" s="325"/>
      <c r="P257" s="325"/>
      <c r="Q257" s="309"/>
      <c r="R257" s="345"/>
      <c r="S257" s="256"/>
      <c r="T257" s="344"/>
      <c r="U257" s="344"/>
      <c r="V257" s="344"/>
      <c r="W257" s="344"/>
      <c r="X257" s="344"/>
      <c r="Y257" s="360"/>
    </row>
    <row r="258" spans="1:25" s="239" customFormat="1" ht="13.8">
      <c r="A258" s="284" t="s">
        <v>1065</v>
      </c>
      <c r="B258" s="285" t="s">
        <v>1292</v>
      </c>
      <c r="C258" s="286">
        <f>G258*I258</f>
        <v>120</v>
      </c>
      <c r="D258" s="287"/>
      <c r="E258" s="287"/>
      <c r="F258" s="282">
        <f>SUM(C258:E258)</f>
        <v>120</v>
      </c>
      <c r="G258" s="288">
        <f>G255</f>
        <v>20000</v>
      </c>
      <c r="H258" s="289" t="s">
        <v>1279</v>
      </c>
      <c r="I258" s="326">
        <v>6.0000000000000001E-3</v>
      </c>
      <c r="J258" s="327"/>
      <c r="K258" s="328"/>
      <c r="L258" s="329">
        <v>1.81816902522925E-4</v>
      </c>
      <c r="M258" s="308">
        <f t="shared" ca="1" si="59"/>
        <v>2.6093629101399401E-4</v>
      </c>
      <c r="N258" s="325"/>
      <c r="O258" s="325"/>
      <c r="P258" s="325"/>
      <c r="Q258" s="309"/>
      <c r="R258" s="345"/>
      <c r="S258" s="256"/>
      <c r="T258" s="344"/>
      <c r="U258" s="344"/>
      <c r="V258" s="344"/>
      <c r="W258" s="344"/>
      <c r="X258" s="344"/>
      <c r="Y258" s="360"/>
    </row>
    <row r="259" spans="1:25" s="239" customFormat="1" ht="13.8">
      <c r="A259" s="284" t="s">
        <v>1066</v>
      </c>
      <c r="B259" s="285" t="s">
        <v>1293</v>
      </c>
      <c r="C259" s="286">
        <f>G259*I259</f>
        <v>40</v>
      </c>
      <c r="D259" s="287"/>
      <c r="E259" s="287"/>
      <c r="F259" s="282">
        <f>SUM(C259:E259)</f>
        <v>40</v>
      </c>
      <c r="G259" s="288">
        <f>G258</f>
        <v>20000</v>
      </c>
      <c r="H259" s="289" t="s">
        <v>1279</v>
      </c>
      <c r="I259" s="326">
        <v>2E-3</v>
      </c>
      <c r="J259" s="327"/>
      <c r="K259" s="328"/>
      <c r="L259" s="329">
        <v>6.0605634174308201E-5</v>
      </c>
      <c r="M259" s="308">
        <f t="shared" ca="1" si="59"/>
        <v>8.6978763671331202E-5</v>
      </c>
      <c r="N259" s="325"/>
      <c r="O259" s="325"/>
      <c r="P259" s="325"/>
      <c r="Q259" s="309"/>
      <c r="R259" s="345"/>
      <c r="S259" s="256"/>
      <c r="T259" s="344"/>
      <c r="U259" s="344"/>
      <c r="V259" s="344"/>
      <c r="W259" s="344"/>
      <c r="X259" s="344"/>
      <c r="Y259" s="360"/>
    </row>
    <row r="260" spans="1:25" s="248" customFormat="1" ht="13.8">
      <c r="A260" s="264">
        <v>4</v>
      </c>
      <c r="B260" s="264" t="s">
        <v>1341</v>
      </c>
      <c r="C260" s="265">
        <v>0</v>
      </c>
      <c r="D260" s="265">
        <f>D261+D274</f>
        <v>22038.98</v>
      </c>
      <c r="E260" s="265">
        <f>E261+E274</f>
        <v>0</v>
      </c>
      <c r="F260" s="265">
        <f>SUM(C260:E260)</f>
        <v>22038.98</v>
      </c>
      <c r="G260" s="424"/>
      <c r="H260" s="258"/>
      <c r="I260" s="310"/>
      <c r="J260" s="303"/>
      <c r="K260" s="306"/>
      <c r="L260" s="307"/>
      <c r="M260" s="308">
        <f t="shared" ca="1" si="59"/>
        <v>9.3810679359208005E-2</v>
      </c>
      <c r="N260" s="317"/>
      <c r="O260" s="317"/>
      <c r="P260" s="325"/>
      <c r="Q260" s="325"/>
      <c r="R260" s="345"/>
      <c r="S260" s="256"/>
      <c r="T260" s="344"/>
      <c r="U260" s="344"/>
      <c r="V260" s="344"/>
      <c r="W260" s="344"/>
      <c r="X260" s="344"/>
      <c r="Y260" s="360"/>
    </row>
    <row r="261" spans="1:25" s="243" customFormat="1" ht="13.8">
      <c r="A261" s="279">
        <v>4.0999999999999996</v>
      </c>
      <c r="B261" s="280" t="s">
        <v>1342</v>
      </c>
      <c r="C261" s="281"/>
      <c r="D261" s="281"/>
      <c r="E261" s="281"/>
      <c r="F261" s="281">
        <f>SUM(C261:E261)</f>
        <v>0</v>
      </c>
      <c r="G261" s="283"/>
      <c r="H261" s="260"/>
      <c r="I261" s="324"/>
      <c r="J261" s="302"/>
      <c r="K261" s="331"/>
      <c r="L261" s="332"/>
      <c r="M261" s="308">
        <f t="shared" ca="1" si="59"/>
        <v>4.5887598534778203E-2</v>
      </c>
      <c r="N261" s="325"/>
      <c r="O261" s="325"/>
      <c r="P261" s="325"/>
      <c r="Q261" s="325"/>
      <c r="R261" s="345"/>
      <c r="S261" s="343"/>
      <c r="T261" s="341"/>
      <c r="U261" s="341"/>
      <c r="V261" s="341"/>
      <c r="W261" s="341"/>
      <c r="X261" s="341"/>
      <c r="Y261" s="364"/>
    </row>
    <row r="262" spans="1:25" s="243" customFormat="1" ht="13.8" hidden="1">
      <c r="A262" s="425"/>
      <c r="B262" s="426"/>
      <c r="C262" s="427"/>
      <c r="D262" s="427"/>
      <c r="E262" s="427"/>
      <c r="F262" s="427"/>
      <c r="G262" s="428"/>
      <c r="H262" s="429"/>
      <c r="I262" s="445"/>
      <c r="J262" s="302"/>
      <c r="K262" s="331"/>
      <c r="L262" s="332"/>
      <c r="M262" s="308"/>
      <c r="N262" s="325"/>
      <c r="O262" s="325"/>
      <c r="P262" s="325"/>
      <c r="Q262" s="325"/>
      <c r="R262" s="345"/>
      <c r="S262" s="343"/>
      <c r="T262" s="341"/>
      <c r="U262" s="341"/>
      <c r="V262" s="341"/>
      <c r="W262" s="341"/>
      <c r="X262" s="341"/>
      <c r="Y262" s="364"/>
    </row>
    <row r="263" spans="1:25" s="243" customFormat="1" ht="13.8" hidden="1">
      <c r="A263" s="284"/>
      <c r="B263" s="285"/>
      <c r="C263" s="286"/>
      <c r="D263" s="286"/>
      <c r="E263" s="341"/>
      <c r="F263" s="286"/>
      <c r="G263" s="288"/>
      <c r="H263" s="289"/>
      <c r="I263" s="326"/>
      <c r="J263" s="302"/>
      <c r="K263" s="331"/>
      <c r="L263" s="332"/>
      <c r="M263" s="308"/>
      <c r="N263" s="325"/>
      <c r="O263" s="325"/>
      <c r="P263" s="325"/>
      <c r="Q263" s="325"/>
      <c r="R263" s="345"/>
      <c r="S263" s="343"/>
      <c r="T263" s="341"/>
      <c r="U263" s="341"/>
      <c r="V263" s="341"/>
      <c r="W263" s="341"/>
      <c r="X263" s="341"/>
      <c r="Y263" s="364"/>
    </row>
    <row r="264" spans="1:25" s="243" customFormat="1" ht="13.8" hidden="1">
      <c r="A264" s="284"/>
      <c r="B264" s="285"/>
      <c r="C264" s="286"/>
      <c r="D264" s="286"/>
      <c r="E264" s="286"/>
      <c r="F264" s="286"/>
      <c r="G264" s="288"/>
      <c r="H264" s="289"/>
      <c r="I264" s="326"/>
      <c r="J264" s="302"/>
      <c r="K264" s="331"/>
      <c r="L264" s="332"/>
      <c r="M264" s="308"/>
      <c r="N264" s="325"/>
      <c r="O264" s="325"/>
      <c r="P264" s="325"/>
      <c r="Q264" s="325"/>
      <c r="R264" s="345"/>
      <c r="S264" s="343"/>
      <c r="T264" s="341"/>
      <c r="U264" s="341"/>
      <c r="V264" s="341"/>
      <c r="W264" s="341"/>
      <c r="X264" s="341"/>
      <c r="Y264" s="364"/>
    </row>
    <row r="265" spans="1:25" s="243" customFormat="1" ht="13.8" hidden="1">
      <c r="A265" s="284"/>
      <c r="B265" s="285"/>
      <c r="C265" s="286"/>
      <c r="D265" s="286"/>
      <c r="E265" s="286"/>
      <c r="F265" s="286"/>
      <c r="G265" s="288"/>
      <c r="H265" s="289"/>
      <c r="I265" s="326"/>
      <c r="J265" s="302"/>
      <c r="K265" s="331"/>
      <c r="L265" s="332"/>
      <c r="M265" s="308"/>
      <c r="N265" s="325"/>
      <c r="O265" s="325"/>
      <c r="P265" s="325"/>
      <c r="Q265" s="325"/>
      <c r="R265" s="345"/>
      <c r="S265" s="343"/>
      <c r="T265" s="341"/>
      <c r="U265" s="341"/>
      <c r="V265" s="341"/>
      <c r="W265" s="341"/>
      <c r="X265" s="341"/>
      <c r="Y265" s="364"/>
    </row>
    <row r="266" spans="1:25" s="243" customFormat="1" ht="13.8" hidden="1">
      <c r="A266" s="284"/>
      <c r="B266" s="285"/>
      <c r="C266" s="286"/>
      <c r="D266" s="286"/>
      <c r="E266" s="286"/>
      <c r="F266" s="286"/>
      <c r="G266" s="288"/>
      <c r="H266" s="289"/>
      <c r="I266" s="326"/>
      <c r="J266" s="302"/>
      <c r="K266" s="331"/>
      <c r="L266" s="332"/>
      <c r="M266" s="308"/>
      <c r="N266" s="325"/>
      <c r="O266" s="325"/>
      <c r="P266" s="325"/>
      <c r="Q266" s="325"/>
      <c r="R266" s="345"/>
      <c r="S266" s="343"/>
      <c r="T266" s="341"/>
      <c r="U266" s="341"/>
      <c r="V266" s="341"/>
      <c r="W266" s="341"/>
      <c r="X266" s="341"/>
      <c r="Y266" s="364"/>
    </row>
    <row r="267" spans="1:25" s="243" customFormat="1" ht="13.8" hidden="1">
      <c r="A267" s="284"/>
      <c r="C267" s="286"/>
      <c r="D267" s="286"/>
      <c r="E267" s="286"/>
      <c r="F267" s="286"/>
      <c r="G267" s="288"/>
      <c r="H267" s="289"/>
      <c r="I267" s="326"/>
      <c r="J267" s="302"/>
      <c r="K267" s="331"/>
      <c r="L267" s="332"/>
      <c r="M267" s="308"/>
      <c r="N267" s="325"/>
      <c r="O267" s="325"/>
      <c r="P267" s="325"/>
      <c r="Q267" s="325"/>
      <c r="R267" s="345"/>
      <c r="S267" s="343"/>
      <c r="T267" s="341"/>
      <c r="U267" s="341"/>
      <c r="V267" s="341"/>
      <c r="W267" s="341"/>
      <c r="X267" s="341"/>
      <c r="Y267" s="364"/>
    </row>
    <row r="268" spans="1:25" s="243" customFormat="1" ht="13.8" hidden="1">
      <c r="A268" s="284"/>
      <c r="B268" s="285"/>
      <c r="C268" s="286"/>
      <c r="D268" s="286"/>
      <c r="E268" s="286"/>
      <c r="F268" s="286"/>
      <c r="G268" s="288"/>
      <c r="H268" s="289"/>
      <c r="I268" s="326"/>
      <c r="J268" s="302"/>
      <c r="K268" s="331"/>
      <c r="L268" s="332"/>
      <c r="M268" s="308"/>
      <c r="N268" s="325"/>
      <c r="O268" s="325"/>
      <c r="P268" s="325"/>
      <c r="Q268" s="325"/>
      <c r="R268" s="345"/>
      <c r="S268" s="343"/>
      <c r="T268" s="341"/>
      <c r="U268" s="341"/>
      <c r="V268" s="341"/>
      <c r="W268" s="341"/>
      <c r="X268" s="341"/>
      <c r="Y268" s="364"/>
    </row>
    <row r="269" spans="1:25" s="243" customFormat="1" ht="13.8" hidden="1">
      <c r="A269" s="284"/>
      <c r="B269" s="285"/>
      <c r="C269" s="286"/>
      <c r="D269" s="286"/>
      <c r="E269" s="286"/>
      <c r="F269" s="286"/>
      <c r="G269" s="288"/>
      <c r="H269" s="289"/>
      <c r="I269" s="326"/>
      <c r="J269" s="302"/>
      <c r="K269" s="331"/>
      <c r="L269" s="332"/>
      <c r="M269" s="308"/>
      <c r="N269" s="325"/>
      <c r="O269" s="325"/>
      <c r="P269" s="325"/>
      <c r="Q269" s="325"/>
      <c r="R269" s="345"/>
      <c r="S269" s="343"/>
      <c r="T269" s="341"/>
      <c r="U269" s="341"/>
      <c r="V269" s="341"/>
      <c r="W269" s="341"/>
      <c r="X269" s="341"/>
      <c r="Y269" s="364"/>
    </row>
    <row r="270" spans="1:25" s="243" customFormat="1" ht="13.8" hidden="1">
      <c r="A270" s="284"/>
      <c r="B270" s="285"/>
      <c r="C270" s="286"/>
      <c r="D270" s="286"/>
      <c r="E270" s="286"/>
      <c r="F270" s="286"/>
      <c r="G270" s="288"/>
      <c r="H270" s="289"/>
      <c r="I270" s="326"/>
      <c r="J270" s="302"/>
      <c r="K270" s="331"/>
      <c r="L270" s="332"/>
      <c r="M270" s="308"/>
      <c r="N270" s="325"/>
      <c r="O270" s="325"/>
      <c r="P270" s="325"/>
      <c r="Q270" s="325"/>
      <c r="R270" s="345"/>
      <c r="S270" s="343"/>
      <c r="T270" s="341"/>
      <c r="U270" s="341"/>
      <c r="V270" s="341"/>
      <c r="W270" s="341"/>
      <c r="X270" s="341"/>
      <c r="Y270" s="364"/>
    </row>
    <row r="271" spans="1:25" s="243" customFormat="1" ht="13.8" hidden="1">
      <c r="A271" s="284"/>
      <c r="B271" s="285"/>
      <c r="C271" s="286"/>
      <c r="D271" s="286"/>
      <c r="E271" s="286"/>
      <c r="F271" s="286"/>
      <c r="G271" s="288"/>
      <c r="H271" s="289"/>
      <c r="I271" s="326"/>
      <c r="J271" s="302"/>
      <c r="K271" s="331"/>
      <c r="L271" s="332"/>
      <c r="M271" s="308"/>
      <c r="N271" s="325"/>
      <c r="O271" s="325"/>
      <c r="P271" s="325"/>
      <c r="Q271" s="325"/>
      <c r="R271" s="345"/>
      <c r="S271" s="343"/>
      <c r="T271" s="341"/>
      <c r="U271" s="341"/>
      <c r="V271" s="341"/>
      <c r="W271" s="341"/>
      <c r="X271" s="341"/>
      <c r="Y271" s="364"/>
    </row>
    <row r="272" spans="1:25" s="247" customFormat="1" ht="13.8" hidden="1">
      <c r="A272" s="430" t="s">
        <v>435</v>
      </c>
      <c r="B272" s="431" t="s">
        <v>1343</v>
      </c>
      <c r="C272" s="432"/>
      <c r="D272" s="432"/>
      <c r="E272" s="432"/>
      <c r="F272" s="432"/>
      <c r="G272" s="392"/>
      <c r="H272" s="433"/>
      <c r="I272" s="446"/>
      <c r="J272" s="333"/>
      <c r="K272" s="334"/>
      <c r="L272" s="335"/>
      <c r="M272" s="308">
        <f ca="1">F272/$F$378*100%</f>
        <v>4.5887598534778203E-2</v>
      </c>
      <c r="N272" s="323"/>
      <c r="O272" s="323"/>
      <c r="P272" s="323"/>
      <c r="Q272" s="323"/>
      <c r="R272" s="353"/>
      <c r="S272" s="356"/>
      <c r="T272" s="357"/>
      <c r="U272" s="357"/>
      <c r="V272" s="357"/>
      <c r="W272" s="357"/>
      <c r="X272" s="357"/>
      <c r="Y272" s="365"/>
    </row>
    <row r="273" spans="1:25" s="243" customFormat="1" ht="13.8">
      <c r="A273" s="434" t="s">
        <v>1344</v>
      </c>
      <c r="B273" s="434" t="s">
        <v>1345</v>
      </c>
      <c r="C273" s="434"/>
      <c r="D273" s="435">
        <f t="shared" ref="D273" si="61">G273*I273</f>
        <v>4212.0499799999998</v>
      </c>
      <c r="E273" s="434"/>
      <c r="F273" s="435">
        <f t="shared" ref="F273:F276" si="62">SUM(C273:E273)</f>
        <v>4212.0499799999998</v>
      </c>
      <c r="G273" s="436">
        <v>679362.9</v>
      </c>
      <c r="H273" s="437" t="s">
        <v>1346</v>
      </c>
      <c r="I273" s="447">
        <v>6.1999999999999998E-3</v>
      </c>
      <c r="J273" s="448"/>
      <c r="K273" s="449"/>
      <c r="L273" s="450"/>
      <c r="M273" s="451">
        <f ca="1">F273/$F$378*100%</f>
        <v>9.1589724945563798E-3</v>
      </c>
      <c r="N273" s="452" t="s">
        <v>1347</v>
      </c>
      <c r="O273" s="317"/>
      <c r="P273" s="317"/>
      <c r="Q273" s="317"/>
      <c r="R273" s="349"/>
      <c r="S273" s="343"/>
      <c r="T273" s="341"/>
      <c r="U273" s="341"/>
      <c r="V273" s="341"/>
      <c r="W273" s="341"/>
      <c r="X273" s="341"/>
      <c r="Y273" s="364"/>
    </row>
    <row r="274" spans="1:25" s="243" customFormat="1" ht="13.8">
      <c r="A274" s="438">
        <v>4.2</v>
      </c>
      <c r="B274" s="439" t="s">
        <v>1348</v>
      </c>
      <c r="C274" s="440"/>
      <c r="D274" s="440">
        <f>D275+D276</f>
        <v>22038.98</v>
      </c>
      <c r="E274" s="440"/>
      <c r="F274" s="440">
        <f t="shared" si="62"/>
        <v>22038.98</v>
      </c>
      <c r="G274" s="288"/>
      <c r="H274" s="289"/>
      <c r="I274" s="326"/>
      <c r="J274" s="302"/>
      <c r="K274" s="331"/>
      <c r="L274" s="332"/>
      <c r="M274" s="308">
        <f ca="1">F274/$F$378*100%</f>
        <v>4.7923080824429899E-2</v>
      </c>
      <c r="N274" s="453" t="s">
        <v>1349</v>
      </c>
      <c r="O274" s="325"/>
      <c r="P274" s="325"/>
      <c r="Q274" s="325"/>
      <c r="R274" s="345"/>
      <c r="S274" s="343"/>
      <c r="T274" s="341"/>
      <c r="U274" s="341"/>
      <c r="V274" s="341"/>
      <c r="W274" s="341"/>
      <c r="X274" s="341"/>
      <c r="Y274" s="364"/>
    </row>
    <row r="275" spans="1:25" s="243" customFormat="1" ht="13.8" hidden="1">
      <c r="A275" s="438"/>
      <c r="B275" s="439"/>
      <c r="C275" s="440"/>
      <c r="D275" s="440"/>
      <c r="E275" s="440"/>
      <c r="F275" s="440"/>
      <c r="G275" s="428"/>
      <c r="H275" s="429"/>
      <c r="I275" s="445"/>
      <c r="J275" s="302"/>
      <c r="K275" s="331"/>
      <c r="L275" s="332"/>
      <c r="M275" s="308"/>
      <c r="N275" s="454"/>
      <c r="O275" s="325"/>
      <c r="P275" s="325"/>
      <c r="Q275" s="325"/>
      <c r="R275" s="345"/>
      <c r="S275" s="343"/>
      <c r="T275" s="341"/>
      <c r="U275" s="341"/>
      <c r="V275" s="341"/>
      <c r="W275" s="341"/>
      <c r="X275" s="341"/>
      <c r="Y275" s="364"/>
    </row>
    <row r="276" spans="1:25" s="247" customFormat="1" ht="13.8">
      <c r="A276" s="438" t="s">
        <v>1350</v>
      </c>
      <c r="B276" s="439" t="s">
        <v>1351</v>
      </c>
      <c r="C276" s="440"/>
      <c r="D276" s="440">
        <v>22038.98</v>
      </c>
      <c r="E276" s="440"/>
      <c r="F276" s="440">
        <f t="shared" si="62"/>
        <v>22038.98</v>
      </c>
      <c r="G276" s="392"/>
      <c r="H276" s="433"/>
      <c r="I276" s="446"/>
      <c r="J276" s="333"/>
      <c r="K276" s="334"/>
      <c r="L276" s="335"/>
      <c r="M276" s="322">
        <f t="shared" ref="M276:M297" ca="1" si="63">F276/$F$378*100%</f>
        <v>4.7923080824429899E-2</v>
      </c>
      <c r="N276" s="454"/>
      <c r="O276" s="323"/>
      <c r="P276" s="323"/>
      <c r="Q276" s="323"/>
      <c r="R276" s="353"/>
      <c r="S276" s="356"/>
      <c r="T276" s="357"/>
      <c r="U276" s="357"/>
      <c r="V276" s="357"/>
      <c r="W276" s="357"/>
      <c r="X276" s="357"/>
      <c r="Y276" s="365"/>
    </row>
    <row r="277" spans="1:25" s="241" customFormat="1" ht="13.8">
      <c r="A277" s="264">
        <v>5</v>
      </c>
      <c r="B277" s="264" t="s">
        <v>1352</v>
      </c>
      <c r="C277" s="263">
        <f>C278+C282+C286+C290+C294+C298+C299+C300+C301+C302+C321+C322</f>
        <v>53619.450975</v>
      </c>
      <c r="D277" s="263">
        <f>D278+D282+D286+D290+D294+D298+D299+D300+D301+D302+D321+D322</f>
        <v>0</v>
      </c>
      <c r="E277" s="263">
        <f>E278+E282+E286+E290+E294+E298+E299+E300+E301+E302+E321+E322</f>
        <v>0</v>
      </c>
      <c r="F277" s="263">
        <f t="shared" ref="F277:F297" si="64">SUM(C277:E277)</f>
        <v>53619.450975</v>
      </c>
      <c r="G277" s="424"/>
      <c r="H277" s="258"/>
      <c r="I277" s="310"/>
      <c r="J277" s="303"/>
      <c r="K277" s="1179"/>
      <c r="L277" s="1180"/>
      <c r="M277" s="308">
        <f t="shared" ca="1" si="63"/>
        <v>0.11659383886352601</v>
      </c>
      <c r="N277" s="325"/>
      <c r="O277" s="325"/>
      <c r="P277" s="325"/>
      <c r="Q277" s="309"/>
      <c r="R277" s="345"/>
      <c r="S277" s="350"/>
      <c r="T277" s="351"/>
      <c r="U277" s="351"/>
      <c r="V277" s="351"/>
      <c r="W277" s="351"/>
      <c r="X277" s="351"/>
      <c r="Y277" s="362"/>
    </row>
    <row r="278" spans="1:25" s="244" customFormat="1" ht="18" customHeight="1">
      <c r="A278" s="297" t="s">
        <v>1353</v>
      </c>
      <c r="B278" s="274" t="s">
        <v>1354</v>
      </c>
      <c r="C278" s="275">
        <f>SUM(C279:C281)</f>
        <v>8800</v>
      </c>
      <c r="D278" s="275">
        <f>SUM(D279:D281)</f>
        <v>0</v>
      </c>
      <c r="E278" s="275">
        <f>SUM(E279:E281)</f>
        <v>0</v>
      </c>
      <c r="F278" s="276">
        <f t="shared" si="64"/>
        <v>8800</v>
      </c>
      <c r="G278" s="277">
        <v>11000</v>
      </c>
      <c r="H278" s="278" t="s">
        <v>1279</v>
      </c>
      <c r="I278" s="318">
        <v>0.8</v>
      </c>
      <c r="J278" s="333"/>
      <c r="K278" s="334"/>
      <c r="L278" s="335"/>
      <c r="M278" s="322">
        <f t="shared" ca="1" si="63"/>
        <v>1.9135328007692898E-2</v>
      </c>
      <c r="N278" s="323"/>
      <c r="O278" s="323"/>
      <c r="P278" s="323"/>
      <c r="Q278" s="352"/>
      <c r="R278" s="353"/>
      <c r="S278" s="356"/>
      <c r="T278" s="357"/>
      <c r="U278" s="357"/>
      <c r="V278" s="357"/>
      <c r="W278" s="357"/>
      <c r="X278" s="357"/>
      <c r="Y278" s="365"/>
    </row>
    <row r="279" spans="1:25" s="238" customFormat="1" ht="18" customHeight="1">
      <c r="A279" s="367" t="s">
        <v>1073</v>
      </c>
      <c r="B279" s="280" t="s">
        <v>1355</v>
      </c>
      <c r="C279" s="281">
        <f>G279*I279</f>
        <v>1650</v>
      </c>
      <c r="D279" s="281"/>
      <c r="E279" s="281"/>
      <c r="F279" s="282">
        <f t="shared" si="64"/>
        <v>1650</v>
      </c>
      <c r="G279" s="283">
        <f>G278</f>
        <v>11000</v>
      </c>
      <c r="H279" s="260" t="s">
        <v>1279</v>
      </c>
      <c r="I279" s="324">
        <v>0.15</v>
      </c>
      <c r="J279" s="302"/>
      <c r="K279" s="331"/>
      <c r="L279" s="332"/>
      <c r="M279" s="308">
        <f t="shared" ca="1" si="63"/>
        <v>3.58787400144241E-3</v>
      </c>
      <c r="N279" s="325"/>
      <c r="O279" s="325"/>
      <c r="P279" s="325"/>
      <c r="Q279" s="309"/>
      <c r="R279" s="345"/>
      <c r="S279" s="343"/>
      <c r="T279" s="341"/>
      <c r="U279" s="341"/>
      <c r="V279" s="341"/>
      <c r="W279" s="341"/>
      <c r="X279" s="341"/>
      <c r="Y279" s="364"/>
    </row>
    <row r="280" spans="1:25" s="238" customFormat="1" ht="18" customHeight="1">
      <c r="A280" s="367" t="s">
        <v>1075</v>
      </c>
      <c r="B280" s="280" t="s">
        <v>1356</v>
      </c>
      <c r="C280" s="281">
        <f>G280*I280</f>
        <v>6600</v>
      </c>
      <c r="D280" s="281"/>
      <c r="E280" s="281"/>
      <c r="F280" s="282">
        <f t="shared" si="64"/>
        <v>6600</v>
      </c>
      <c r="G280" s="283">
        <f>G279</f>
        <v>11000</v>
      </c>
      <c r="H280" s="260" t="s">
        <v>1279</v>
      </c>
      <c r="I280" s="324">
        <v>0.6</v>
      </c>
      <c r="J280" s="302"/>
      <c r="K280" s="331"/>
      <c r="L280" s="332"/>
      <c r="M280" s="308">
        <f t="shared" ca="1" si="63"/>
        <v>1.43514960057696E-2</v>
      </c>
      <c r="N280" s="325"/>
      <c r="O280" s="325"/>
      <c r="P280" s="325"/>
      <c r="Q280" s="309"/>
      <c r="R280" s="345"/>
      <c r="S280" s="343"/>
      <c r="T280" s="341"/>
      <c r="U280" s="341"/>
      <c r="V280" s="341"/>
      <c r="W280" s="341"/>
      <c r="X280" s="341"/>
      <c r="Y280" s="364"/>
    </row>
    <row r="281" spans="1:25" s="238" customFormat="1" ht="18" customHeight="1">
      <c r="A281" s="367" t="s">
        <v>1075</v>
      </c>
      <c r="B281" s="280" t="s">
        <v>1357</v>
      </c>
      <c r="C281" s="281">
        <f>G281*I281</f>
        <v>550</v>
      </c>
      <c r="D281" s="281"/>
      <c r="E281" s="281"/>
      <c r="F281" s="282">
        <f t="shared" si="64"/>
        <v>550</v>
      </c>
      <c r="G281" s="283">
        <f>G280</f>
        <v>11000</v>
      </c>
      <c r="H281" s="260" t="s">
        <v>1279</v>
      </c>
      <c r="I281" s="324">
        <v>0.05</v>
      </c>
      <c r="J281" s="302"/>
      <c r="K281" s="331"/>
      <c r="L281" s="332"/>
      <c r="M281" s="308">
        <f t="shared" ca="1" si="63"/>
        <v>1.1959580004808001E-3</v>
      </c>
      <c r="N281" s="325"/>
      <c r="O281" s="325"/>
      <c r="P281" s="325"/>
      <c r="Q281" s="309"/>
      <c r="R281" s="345"/>
      <c r="S281" s="343"/>
      <c r="T281" s="341"/>
      <c r="U281" s="341"/>
      <c r="V281" s="341"/>
      <c r="W281" s="341"/>
      <c r="X281" s="341"/>
      <c r="Y281" s="364"/>
    </row>
    <row r="282" spans="1:25" s="244" customFormat="1" ht="18" customHeight="1">
      <c r="A282" s="295">
        <v>5.2</v>
      </c>
      <c r="B282" s="274" t="s">
        <v>1358</v>
      </c>
      <c r="C282" s="275">
        <f>SUM(C283:C285)</f>
        <v>8800</v>
      </c>
      <c r="D282" s="275">
        <f>SUM(D283:D285)</f>
        <v>0</v>
      </c>
      <c r="E282" s="275">
        <f>SUM(E283:E285)</f>
        <v>0</v>
      </c>
      <c r="F282" s="276">
        <f t="shared" si="64"/>
        <v>8800</v>
      </c>
      <c r="G282" s="277">
        <v>11000</v>
      </c>
      <c r="H282" s="278" t="s">
        <v>1279</v>
      </c>
      <c r="I282" s="318">
        <f>F282/G282</f>
        <v>0.8</v>
      </c>
      <c r="J282" s="333"/>
      <c r="K282" s="334"/>
      <c r="L282" s="335"/>
      <c r="M282" s="322">
        <f t="shared" ca="1" si="63"/>
        <v>1.9135328007692898E-2</v>
      </c>
      <c r="N282" s="323"/>
      <c r="O282" s="323"/>
      <c r="P282" s="323"/>
      <c r="Q282" s="352"/>
      <c r="R282" s="353"/>
      <c r="S282" s="356"/>
      <c r="T282" s="357"/>
      <c r="U282" s="357"/>
      <c r="V282" s="357"/>
      <c r="W282" s="357"/>
      <c r="X282" s="357"/>
      <c r="Y282" s="365"/>
    </row>
    <row r="283" spans="1:25" s="238" customFormat="1" ht="18" customHeight="1">
      <c r="A283" s="367" t="s">
        <v>1079</v>
      </c>
      <c r="B283" s="280" t="s">
        <v>1355</v>
      </c>
      <c r="C283" s="281">
        <f>G283*I283</f>
        <v>1650</v>
      </c>
      <c r="D283" s="281"/>
      <c r="E283" s="281"/>
      <c r="F283" s="282">
        <f t="shared" si="64"/>
        <v>1650</v>
      </c>
      <c r="G283" s="283">
        <f>G282</f>
        <v>11000</v>
      </c>
      <c r="H283" s="260" t="s">
        <v>1279</v>
      </c>
      <c r="I283" s="324">
        <v>0.15</v>
      </c>
      <c r="J283" s="302"/>
      <c r="K283" s="331"/>
      <c r="L283" s="332"/>
      <c r="M283" s="308">
        <f t="shared" ca="1" si="63"/>
        <v>3.58787400144241E-3</v>
      </c>
      <c r="N283" s="325"/>
      <c r="O283" s="325"/>
      <c r="P283" s="325"/>
      <c r="Q283" s="309"/>
      <c r="R283" s="345"/>
      <c r="S283" s="343"/>
      <c r="T283" s="341"/>
      <c r="U283" s="341"/>
      <c r="V283" s="341"/>
      <c r="W283" s="341"/>
      <c r="X283" s="341"/>
      <c r="Y283" s="364"/>
    </row>
    <row r="284" spans="1:25" s="238" customFormat="1" ht="18" customHeight="1">
      <c r="A284" s="367" t="s">
        <v>1080</v>
      </c>
      <c r="B284" s="280" t="s">
        <v>1356</v>
      </c>
      <c r="C284" s="281">
        <f>G284*I284</f>
        <v>6600</v>
      </c>
      <c r="D284" s="281"/>
      <c r="E284" s="281"/>
      <c r="F284" s="282">
        <f t="shared" si="64"/>
        <v>6600</v>
      </c>
      <c r="G284" s="283">
        <f>G283</f>
        <v>11000</v>
      </c>
      <c r="H284" s="260" t="s">
        <v>1279</v>
      </c>
      <c r="I284" s="324">
        <v>0.6</v>
      </c>
      <c r="J284" s="302"/>
      <c r="K284" s="331"/>
      <c r="L284" s="332"/>
      <c r="M284" s="308">
        <f t="shared" ca="1" si="63"/>
        <v>1.43514960057696E-2</v>
      </c>
      <c r="N284" s="325"/>
      <c r="O284" s="325"/>
      <c r="P284" s="325"/>
      <c r="Q284" s="309"/>
      <c r="R284" s="345"/>
      <c r="S284" s="343"/>
      <c r="T284" s="341"/>
      <c r="U284" s="341"/>
      <c r="V284" s="341"/>
      <c r="W284" s="341"/>
      <c r="X284" s="341"/>
      <c r="Y284" s="364"/>
    </row>
    <row r="285" spans="1:25" s="238" customFormat="1" ht="18" customHeight="1">
      <c r="A285" s="367" t="s">
        <v>1081</v>
      </c>
      <c r="B285" s="280" t="s">
        <v>1357</v>
      </c>
      <c r="C285" s="281">
        <f>G285*I285</f>
        <v>550</v>
      </c>
      <c r="D285" s="281"/>
      <c r="E285" s="281"/>
      <c r="F285" s="282">
        <f t="shared" si="64"/>
        <v>550</v>
      </c>
      <c r="G285" s="283">
        <f>G284</f>
        <v>11000</v>
      </c>
      <c r="H285" s="260" t="s">
        <v>1279</v>
      </c>
      <c r="I285" s="324">
        <v>0.05</v>
      </c>
      <c r="J285" s="302"/>
      <c r="K285" s="331"/>
      <c r="L285" s="332"/>
      <c r="M285" s="308">
        <f t="shared" ca="1" si="63"/>
        <v>1.1959580004808001E-3</v>
      </c>
      <c r="N285" s="325"/>
      <c r="O285" s="325"/>
      <c r="P285" s="325"/>
      <c r="Q285" s="309"/>
      <c r="R285" s="345"/>
      <c r="S285" s="343"/>
      <c r="T285" s="341"/>
      <c r="U285" s="341"/>
      <c r="V285" s="341"/>
      <c r="W285" s="341"/>
      <c r="X285" s="341"/>
      <c r="Y285" s="364"/>
    </row>
    <row r="286" spans="1:25" s="244" customFormat="1" ht="18" customHeight="1">
      <c r="A286" s="295">
        <v>5.3</v>
      </c>
      <c r="B286" s="274" t="s">
        <v>1359</v>
      </c>
      <c r="C286" s="275">
        <f>SUM(C287:C289)</f>
        <v>4000</v>
      </c>
      <c r="D286" s="275">
        <f>SUM(D287:D289)</f>
        <v>0</v>
      </c>
      <c r="E286" s="275">
        <f>SUM(E287:E289)</f>
        <v>0</v>
      </c>
      <c r="F286" s="276">
        <f t="shared" si="64"/>
        <v>4000</v>
      </c>
      <c r="G286" s="277">
        <v>5000</v>
      </c>
      <c r="H286" s="278" t="s">
        <v>1279</v>
      </c>
      <c r="I286" s="318">
        <f>F286/G286</f>
        <v>0.8</v>
      </c>
      <c r="J286" s="333"/>
      <c r="K286" s="334"/>
      <c r="L286" s="335"/>
      <c r="M286" s="322">
        <f t="shared" ca="1" si="63"/>
        <v>8.6978763671331193E-3</v>
      </c>
      <c r="N286" s="323"/>
      <c r="O286" s="323"/>
      <c r="P286" s="323"/>
      <c r="Q286" s="352"/>
      <c r="R286" s="353"/>
      <c r="S286" s="356"/>
      <c r="T286" s="357"/>
      <c r="U286" s="357"/>
      <c r="V286" s="357"/>
      <c r="W286" s="357"/>
      <c r="X286" s="357"/>
      <c r="Y286" s="365"/>
    </row>
    <row r="287" spans="1:25" s="238" customFormat="1" ht="18" customHeight="1">
      <c r="A287" s="367" t="s">
        <v>1083</v>
      </c>
      <c r="B287" s="280" t="s">
        <v>1355</v>
      </c>
      <c r="C287" s="281">
        <f>G287*I287</f>
        <v>750</v>
      </c>
      <c r="D287" s="281"/>
      <c r="E287" s="281"/>
      <c r="F287" s="282">
        <f t="shared" si="64"/>
        <v>750</v>
      </c>
      <c r="G287" s="283">
        <f>G286</f>
        <v>5000</v>
      </c>
      <c r="H287" s="260" t="s">
        <v>1279</v>
      </c>
      <c r="I287" s="324">
        <v>0.15</v>
      </c>
      <c r="J287" s="302"/>
      <c r="K287" s="331"/>
      <c r="L287" s="332"/>
      <c r="M287" s="308">
        <f t="shared" ca="1" si="63"/>
        <v>1.6308518188374601E-3</v>
      </c>
      <c r="N287" s="325"/>
      <c r="O287" s="325"/>
      <c r="P287" s="325"/>
      <c r="Q287" s="309"/>
      <c r="R287" s="345"/>
      <c r="S287" s="343"/>
      <c r="T287" s="341"/>
      <c r="U287" s="341"/>
      <c r="V287" s="341"/>
      <c r="W287" s="341"/>
      <c r="X287" s="341"/>
      <c r="Y287" s="364"/>
    </row>
    <row r="288" spans="1:25" s="238" customFormat="1" ht="18" customHeight="1">
      <c r="A288" s="367" t="s">
        <v>1084</v>
      </c>
      <c r="B288" s="280" t="s">
        <v>1356</v>
      </c>
      <c r="C288" s="281">
        <f>G288*I288</f>
        <v>3000</v>
      </c>
      <c r="D288" s="281"/>
      <c r="E288" s="281"/>
      <c r="F288" s="282">
        <f t="shared" si="64"/>
        <v>3000</v>
      </c>
      <c r="G288" s="283">
        <f>G287</f>
        <v>5000</v>
      </c>
      <c r="H288" s="260" t="s">
        <v>1279</v>
      </c>
      <c r="I288" s="324">
        <v>0.6</v>
      </c>
      <c r="J288" s="302"/>
      <c r="K288" s="331"/>
      <c r="L288" s="332"/>
      <c r="M288" s="308">
        <f t="shared" ca="1" si="63"/>
        <v>6.5234072753498403E-3</v>
      </c>
      <c r="N288" s="325"/>
      <c r="O288" s="325"/>
      <c r="P288" s="325"/>
      <c r="Q288" s="309"/>
      <c r="R288" s="345"/>
      <c r="S288" s="343"/>
      <c r="T288" s="341"/>
      <c r="U288" s="341"/>
      <c r="V288" s="341"/>
      <c r="W288" s="341"/>
      <c r="X288" s="341"/>
      <c r="Y288" s="364"/>
    </row>
    <row r="289" spans="1:25" s="238" customFormat="1" ht="18" customHeight="1">
      <c r="A289" s="367" t="s">
        <v>1085</v>
      </c>
      <c r="B289" s="280" t="s">
        <v>1357</v>
      </c>
      <c r="C289" s="281">
        <f>G289*I289</f>
        <v>250</v>
      </c>
      <c r="D289" s="281"/>
      <c r="E289" s="281"/>
      <c r="F289" s="282">
        <f t="shared" si="64"/>
        <v>250</v>
      </c>
      <c r="G289" s="283">
        <f>G288</f>
        <v>5000</v>
      </c>
      <c r="H289" s="260" t="s">
        <v>1279</v>
      </c>
      <c r="I289" s="324">
        <v>0.05</v>
      </c>
      <c r="J289" s="302"/>
      <c r="K289" s="331"/>
      <c r="L289" s="332"/>
      <c r="M289" s="308">
        <f t="shared" ca="1" si="63"/>
        <v>5.4361727294581995E-4</v>
      </c>
      <c r="N289" s="325"/>
      <c r="O289" s="325"/>
      <c r="P289" s="325"/>
      <c r="Q289" s="309"/>
      <c r="R289" s="345"/>
      <c r="S289" s="343"/>
      <c r="T289" s="341"/>
      <c r="U289" s="341"/>
      <c r="V289" s="341"/>
      <c r="W289" s="341"/>
      <c r="X289" s="341"/>
      <c r="Y289" s="364"/>
    </row>
    <row r="290" spans="1:25" s="249" customFormat="1" ht="18" customHeight="1">
      <c r="A290" s="295">
        <v>5.4</v>
      </c>
      <c r="B290" s="274" t="s">
        <v>1360</v>
      </c>
      <c r="C290" s="275">
        <f>SUM(C291:C293)</f>
        <v>3200</v>
      </c>
      <c r="D290" s="275">
        <f>SUM(D291:D293)</f>
        <v>0</v>
      </c>
      <c r="E290" s="275">
        <f>SUM(E291:E293)</f>
        <v>0</v>
      </c>
      <c r="F290" s="276">
        <f t="shared" si="64"/>
        <v>3200</v>
      </c>
      <c r="G290" s="277">
        <v>4000</v>
      </c>
      <c r="H290" s="278" t="s">
        <v>1279</v>
      </c>
      <c r="I290" s="318">
        <f>F290/G290</f>
        <v>0.8</v>
      </c>
      <c r="J290" s="333"/>
      <c r="K290" s="334"/>
      <c r="L290" s="335"/>
      <c r="M290" s="322">
        <f t="shared" ca="1" si="63"/>
        <v>6.9583010937065001E-3</v>
      </c>
      <c r="N290" s="323"/>
      <c r="O290" s="323"/>
      <c r="P290" s="323"/>
      <c r="Q290" s="352"/>
      <c r="R290" s="353"/>
      <c r="S290" s="356"/>
      <c r="T290" s="456"/>
      <c r="U290" s="357"/>
      <c r="V290" s="357"/>
      <c r="W290" s="357"/>
      <c r="X290" s="357"/>
      <c r="Y290" s="365"/>
    </row>
    <row r="291" spans="1:25" s="238" customFormat="1" ht="18" customHeight="1">
      <c r="A291" s="367" t="s">
        <v>1087</v>
      </c>
      <c r="B291" s="280" t="s">
        <v>1355</v>
      </c>
      <c r="C291" s="281">
        <f>G291*I291</f>
        <v>600</v>
      </c>
      <c r="D291" s="281"/>
      <c r="E291" s="281"/>
      <c r="F291" s="282">
        <f t="shared" si="64"/>
        <v>600</v>
      </c>
      <c r="G291" s="283">
        <f>G290</f>
        <v>4000</v>
      </c>
      <c r="H291" s="260" t="s">
        <v>1279</v>
      </c>
      <c r="I291" s="324">
        <v>0.15</v>
      </c>
      <c r="J291" s="302"/>
      <c r="K291" s="331"/>
      <c r="L291" s="332"/>
      <c r="M291" s="308">
        <f t="shared" ca="1" si="63"/>
        <v>1.30468145506997E-3</v>
      </c>
      <c r="N291" s="325"/>
      <c r="O291" s="325"/>
      <c r="P291" s="325"/>
      <c r="Q291" s="309"/>
      <c r="R291" s="345"/>
      <c r="S291" s="343"/>
      <c r="T291" s="341"/>
      <c r="U291" s="341"/>
      <c r="V291" s="341"/>
      <c r="W291" s="341"/>
      <c r="X291" s="341"/>
      <c r="Y291" s="364"/>
    </row>
    <row r="292" spans="1:25" s="238" customFormat="1" ht="18" customHeight="1">
      <c r="A292" s="367" t="s">
        <v>1088</v>
      </c>
      <c r="B292" s="280" t="s">
        <v>1356</v>
      </c>
      <c r="C292" s="281">
        <f>G292*I292</f>
        <v>2400</v>
      </c>
      <c r="D292" s="281"/>
      <c r="E292" s="281"/>
      <c r="F292" s="282">
        <f t="shared" si="64"/>
        <v>2400</v>
      </c>
      <c r="G292" s="283">
        <f>G291</f>
        <v>4000</v>
      </c>
      <c r="H292" s="260" t="s">
        <v>1279</v>
      </c>
      <c r="I292" s="324">
        <v>0.6</v>
      </c>
      <c r="J292" s="302"/>
      <c r="K292" s="331"/>
      <c r="L292" s="332"/>
      <c r="M292" s="308">
        <f t="shared" ca="1" si="63"/>
        <v>5.2187258202798696E-3</v>
      </c>
      <c r="N292" s="325"/>
      <c r="O292" s="325"/>
      <c r="P292" s="325"/>
      <c r="Q292" s="309"/>
      <c r="R292" s="345"/>
      <c r="S292" s="343"/>
      <c r="T292" s="341"/>
      <c r="U292" s="341"/>
      <c r="V292" s="341"/>
      <c r="W292" s="341"/>
      <c r="X292" s="341"/>
      <c r="Y292" s="364"/>
    </row>
    <row r="293" spans="1:25" s="238" customFormat="1" ht="18" customHeight="1">
      <c r="A293" s="367" t="s">
        <v>1089</v>
      </c>
      <c r="B293" s="280" t="s">
        <v>1357</v>
      </c>
      <c r="C293" s="281">
        <f>G293*I293</f>
        <v>200</v>
      </c>
      <c r="D293" s="281"/>
      <c r="E293" s="281"/>
      <c r="F293" s="282">
        <f t="shared" si="64"/>
        <v>200</v>
      </c>
      <c r="G293" s="283">
        <f>G292</f>
        <v>4000</v>
      </c>
      <c r="H293" s="260" t="s">
        <v>1279</v>
      </c>
      <c r="I293" s="324">
        <v>0.05</v>
      </c>
      <c r="J293" s="302"/>
      <c r="K293" s="331"/>
      <c r="L293" s="332"/>
      <c r="M293" s="308">
        <f t="shared" ca="1" si="63"/>
        <v>4.3489381835665598E-4</v>
      </c>
      <c r="N293" s="325"/>
      <c r="O293" s="325"/>
      <c r="P293" s="325"/>
      <c r="Q293" s="309"/>
      <c r="R293" s="345"/>
      <c r="S293" s="343"/>
      <c r="T293" s="341"/>
      <c r="U293" s="341"/>
      <c r="V293" s="341"/>
      <c r="W293" s="341"/>
      <c r="X293" s="341"/>
      <c r="Y293" s="364"/>
    </row>
    <row r="294" spans="1:25" s="244" customFormat="1" ht="18" customHeight="1">
      <c r="A294" s="295">
        <v>5.5</v>
      </c>
      <c r="B294" s="274" t="s">
        <v>1361</v>
      </c>
      <c r="C294" s="275">
        <f>SUM(C295:C297)</f>
        <v>750</v>
      </c>
      <c r="D294" s="275">
        <f>SUM(D295:D297)</f>
        <v>0</v>
      </c>
      <c r="E294" s="275">
        <f>SUM(E295:E297)</f>
        <v>0</v>
      </c>
      <c r="F294" s="276">
        <f t="shared" si="64"/>
        <v>750</v>
      </c>
      <c r="G294" s="277">
        <v>1500</v>
      </c>
      <c r="H294" s="278" t="s">
        <v>1279</v>
      </c>
      <c r="I294" s="318">
        <f>F294/G294</f>
        <v>0.5</v>
      </c>
      <c r="J294" s="333"/>
      <c r="K294" s="334"/>
      <c r="L294" s="335"/>
      <c r="M294" s="322">
        <f t="shared" ca="1" si="63"/>
        <v>1.6308518188374601E-3</v>
      </c>
      <c r="N294" s="323"/>
      <c r="O294" s="323"/>
      <c r="P294" s="323"/>
      <c r="Q294" s="352"/>
      <c r="R294" s="353"/>
      <c r="S294" s="356"/>
      <c r="T294" s="357"/>
      <c r="U294" s="357"/>
      <c r="V294" s="357"/>
      <c r="W294" s="357"/>
      <c r="X294" s="357"/>
      <c r="Y294" s="365"/>
    </row>
    <row r="295" spans="1:25" s="238" customFormat="1" ht="18" customHeight="1">
      <c r="A295" s="367" t="s">
        <v>1091</v>
      </c>
      <c r="B295" s="280" t="s">
        <v>1355</v>
      </c>
      <c r="C295" s="281">
        <f>G295*I295</f>
        <v>225</v>
      </c>
      <c r="D295" s="281"/>
      <c r="E295" s="281"/>
      <c r="F295" s="282">
        <f t="shared" si="64"/>
        <v>225</v>
      </c>
      <c r="G295" s="283">
        <f>G294</f>
        <v>1500</v>
      </c>
      <c r="H295" s="260" t="s">
        <v>1279</v>
      </c>
      <c r="I295" s="324">
        <v>0.15</v>
      </c>
      <c r="J295" s="302"/>
      <c r="K295" s="331"/>
      <c r="L295" s="332"/>
      <c r="M295" s="308">
        <f t="shared" ca="1" si="63"/>
        <v>4.8925554565123802E-4</v>
      </c>
      <c r="N295" s="325"/>
      <c r="O295" s="325"/>
      <c r="P295" s="325"/>
      <c r="Q295" s="309"/>
      <c r="R295" s="345"/>
      <c r="S295" s="343"/>
      <c r="T295" s="341"/>
      <c r="U295" s="341"/>
      <c r="V295" s="341"/>
      <c r="W295" s="341"/>
      <c r="X295" s="341"/>
      <c r="Y295" s="364"/>
    </row>
    <row r="296" spans="1:25" s="238" customFormat="1" ht="18" customHeight="1">
      <c r="A296" s="367" t="s">
        <v>1092</v>
      </c>
      <c r="B296" s="280" t="s">
        <v>1356</v>
      </c>
      <c r="C296" s="281">
        <f>G296*I296</f>
        <v>450</v>
      </c>
      <c r="D296" s="281"/>
      <c r="E296" s="281"/>
      <c r="F296" s="282">
        <f t="shared" si="64"/>
        <v>450</v>
      </c>
      <c r="G296" s="283">
        <f>G295</f>
        <v>1500</v>
      </c>
      <c r="H296" s="260" t="s">
        <v>1279</v>
      </c>
      <c r="I296" s="324">
        <v>0.3</v>
      </c>
      <c r="J296" s="302"/>
      <c r="K296" s="331"/>
      <c r="L296" s="332"/>
      <c r="M296" s="308">
        <f t="shared" ca="1" si="63"/>
        <v>9.7851109130247605E-4</v>
      </c>
      <c r="N296" s="325"/>
      <c r="O296" s="325"/>
      <c r="P296" s="325"/>
      <c r="Q296" s="309"/>
      <c r="R296" s="345"/>
      <c r="S296" s="343"/>
      <c r="T296" s="341"/>
      <c r="U296" s="341"/>
      <c r="V296" s="341"/>
      <c r="W296" s="341"/>
      <c r="X296" s="341"/>
      <c r="Y296" s="364"/>
    </row>
    <row r="297" spans="1:25" s="238" customFormat="1" ht="13.8">
      <c r="A297" s="367" t="s">
        <v>1093</v>
      </c>
      <c r="B297" s="280" t="s">
        <v>1357</v>
      </c>
      <c r="C297" s="281">
        <f>G297*I297</f>
        <v>75</v>
      </c>
      <c r="D297" s="281"/>
      <c r="E297" s="281"/>
      <c r="F297" s="282">
        <f t="shared" si="64"/>
        <v>75</v>
      </c>
      <c r="G297" s="283">
        <f>G296</f>
        <v>1500</v>
      </c>
      <c r="H297" s="260" t="s">
        <v>1279</v>
      </c>
      <c r="I297" s="324">
        <v>0.05</v>
      </c>
      <c r="J297" s="302"/>
      <c r="K297" s="331"/>
      <c r="L297" s="332"/>
      <c r="M297" s="308">
        <f t="shared" ca="1" si="63"/>
        <v>1.6308518188374601E-4</v>
      </c>
      <c r="N297" s="325"/>
      <c r="O297" s="325"/>
      <c r="P297" s="325"/>
      <c r="Q297" s="309"/>
      <c r="R297" s="345"/>
      <c r="S297" s="343"/>
      <c r="T297" s="341"/>
      <c r="U297" s="341"/>
      <c r="V297" s="341"/>
      <c r="W297" s="341"/>
      <c r="X297" s="341"/>
      <c r="Y297" s="364"/>
    </row>
    <row r="298" spans="1:25" s="245" customFormat="1" ht="13.8" hidden="1">
      <c r="A298" s="299"/>
      <c r="B298" s="268"/>
      <c r="C298" s="427"/>
      <c r="D298" s="427"/>
      <c r="E298" s="427"/>
      <c r="F298" s="441"/>
      <c r="G298" s="428"/>
      <c r="H298" s="429"/>
      <c r="I298" s="445"/>
      <c r="J298" s="337"/>
      <c r="K298" s="338"/>
      <c r="L298" s="339"/>
      <c r="M298" s="316"/>
      <c r="N298" s="317"/>
      <c r="O298" s="317"/>
      <c r="P298" s="317"/>
      <c r="Q298" s="348"/>
      <c r="R298" s="349"/>
      <c r="S298" s="358"/>
      <c r="T298" s="359"/>
      <c r="U298" s="359"/>
      <c r="V298" s="359"/>
      <c r="W298" s="359"/>
      <c r="X298" s="359"/>
      <c r="Y298" s="366"/>
    </row>
    <row r="299" spans="1:25" s="245" customFormat="1" ht="13.8" hidden="1">
      <c r="A299" s="299"/>
      <c r="B299" s="268"/>
      <c r="C299" s="427"/>
      <c r="D299" s="427"/>
      <c r="E299" s="427"/>
      <c r="F299" s="441"/>
      <c r="G299" s="428"/>
      <c r="H299" s="429"/>
      <c r="I299" s="445"/>
      <c r="J299" s="337"/>
      <c r="K299" s="338"/>
      <c r="L299" s="339"/>
      <c r="M299" s="316"/>
      <c r="N299" s="325"/>
      <c r="O299" s="325"/>
      <c r="P299" s="325"/>
      <c r="Q299" s="348"/>
      <c r="R299" s="349"/>
      <c r="S299" s="358"/>
      <c r="T299" s="359"/>
      <c r="U299" s="359"/>
      <c r="V299" s="359"/>
      <c r="W299" s="359"/>
      <c r="X299" s="359"/>
      <c r="Y299" s="366"/>
    </row>
    <row r="300" spans="1:25" s="245" customFormat="1" ht="13.8" hidden="1">
      <c r="A300" s="267"/>
      <c r="B300" s="268"/>
      <c r="C300" s="427"/>
      <c r="D300" s="427"/>
      <c r="E300" s="427"/>
      <c r="F300" s="441"/>
      <c r="G300" s="428"/>
      <c r="H300" s="429"/>
      <c r="I300" s="445"/>
      <c r="J300" s="337"/>
      <c r="K300" s="338"/>
      <c r="L300" s="339"/>
      <c r="M300" s="316"/>
      <c r="N300" s="325"/>
      <c r="O300" s="325"/>
      <c r="P300" s="325"/>
      <c r="Q300" s="348"/>
      <c r="R300" s="349"/>
      <c r="S300" s="358"/>
      <c r="T300" s="359"/>
      <c r="U300" s="359"/>
      <c r="V300" s="359"/>
      <c r="W300" s="359"/>
      <c r="X300" s="359"/>
      <c r="Y300" s="366"/>
    </row>
    <row r="301" spans="1:25" s="245" customFormat="1" ht="13.8" hidden="1">
      <c r="A301" s="267"/>
      <c r="B301" s="268"/>
      <c r="C301" s="427"/>
      <c r="D301" s="427"/>
      <c r="E301" s="427"/>
      <c r="F301" s="441"/>
      <c r="G301" s="428"/>
      <c r="H301" s="429"/>
      <c r="I301" s="445"/>
      <c r="J301" s="337"/>
      <c r="K301" s="338"/>
      <c r="L301" s="339"/>
      <c r="M301" s="316"/>
      <c r="N301" s="325"/>
      <c r="O301" s="325"/>
      <c r="P301" s="325"/>
      <c r="Q301" s="348"/>
      <c r="R301" s="349"/>
      <c r="S301" s="358"/>
      <c r="T301" s="359"/>
      <c r="U301" s="359"/>
      <c r="V301" s="359"/>
      <c r="W301" s="359"/>
      <c r="X301" s="359"/>
      <c r="Y301" s="366"/>
    </row>
    <row r="302" spans="1:25" s="244" customFormat="1" ht="13.8">
      <c r="A302" s="297" t="s">
        <v>1215</v>
      </c>
      <c r="B302" s="274" t="s">
        <v>1362</v>
      </c>
      <c r="C302" s="275">
        <f>C303+C304</f>
        <v>28069.450975</v>
      </c>
      <c r="D302" s="275">
        <f>D305+D308+D313+D314+D315</f>
        <v>0</v>
      </c>
      <c r="E302" s="275">
        <f>E305+E308+E313+E314+E315</f>
        <v>0</v>
      </c>
      <c r="F302" s="276">
        <f t="shared" ref="F302:F313" si="65">SUM(C302:E302)</f>
        <v>28069.450975</v>
      </c>
      <c r="G302" s="442">
        <v>590935.81000000006</v>
      </c>
      <c r="H302" s="278" t="s">
        <v>1279</v>
      </c>
      <c r="I302" s="318">
        <v>0.1</v>
      </c>
      <c r="J302" s="333"/>
      <c r="K302" s="334"/>
      <c r="L302" s="335"/>
      <c r="M302" s="322">
        <f t="shared" ref="M302:M365" ca="1" si="66">F302/$F$378*100%</f>
        <v>6.1036153568463501E-2</v>
      </c>
      <c r="N302" s="323"/>
      <c r="O302" s="323"/>
      <c r="P302" s="323"/>
      <c r="Q302" s="352"/>
      <c r="R302" s="353"/>
      <c r="S302" s="356"/>
      <c r="T302" s="357"/>
      <c r="U302" s="357"/>
      <c r="V302" s="357"/>
      <c r="W302" s="357"/>
      <c r="X302" s="357"/>
      <c r="Y302" s="365"/>
    </row>
    <row r="303" spans="1:25" s="244" customFormat="1" ht="13.8" hidden="1">
      <c r="A303" s="299"/>
      <c r="B303" s="268"/>
      <c r="C303" s="269"/>
      <c r="D303" s="269"/>
      <c r="E303" s="269"/>
      <c r="F303" s="276">
        <f t="shared" si="65"/>
        <v>0</v>
      </c>
      <c r="G303" s="443"/>
      <c r="H303" s="272"/>
      <c r="I303" s="312"/>
      <c r="J303" s="334"/>
      <c r="K303" s="405"/>
      <c r="L303" s="406"/>
      <c r="M303" s="322">
        <f t="shared" ca="1" si="66"/>
        <v>0</v>
      </c>
      <c r="N303" s="323"/>
      <c r="O303" s="323"/>
      <c r="P303" s="323"/>
      <c r="Q303" s="352"/>
      <c r="R303" s="353"/>
      <c r="S303" s="356"/>
      <c r="T303" s="357"/>
      <c r="U303" s="357"/>
      <c r="V303" s="357"/>
      <c r="W303" s="357"/>
      <c r="X303" s="357"/>
      <c r="Y303" s="365"/>
    </row>
    <row r="304" spans="1:25" s="238" customFormat="1" ht="13.8">
      <c r="A304" s="367" t="s">
        <v>1095</v>
      </c>
      <c r="B304" s="280" t="s">
        <v>1363</v>
      </c>
      <c r="C304" s="281">
        <f>C305+C308+C313+C314+C315</f>
        <v>28069.450975</v>
      </c>
      <c r="D304" s="281"/>
      <c r="E304" s="281"/>
      <c r="F304" s="282">
        <f t="shared" si="65"/>
        <v>28069.450975</v>
      </c>
      <c r="G304" s="444">
        <f>590935.81</f>
        <v>590935.81000000006</v>
      </c>
      <c r="H304" s="260"/>
      <c r="I304" s="324"/>
      <c r="J304" s="331"/>
      <c r="K304" s="409"/>
      <c r="L304" s="411"/>
      <c r="M304" s="322">
        <f t="shared" ca="1" si="66"/>
        <v>6.1036153568463501E-2</v>
      </c>
      <c r="N304" s="325"/>
      <c r="O304" s="325"/>
      <c r="P304" s="325"/>
      <c r="Q304" s="309"/>
      <c r="R304" s="345"/>
      <c r="S304" s="343"/>
      <c r="T304" s="341"/>
      <c r="U304" s="341"/>
      <c r="V304" s="341"/>
      <c r="W304" s="341"/>
      <c r="X304" s="341"/>
      <c r="Y304" s="364"/>
    </row>
    <row r="305" spans="1:25" s="238" customFormat="1" ht="18" customHeight="1">
      <c r="A305" s="367" t="s">
        <v>1097</v>
      </c>
      <c r="B305" s="280" t="s">
        <v>1364</v>
      </c>
      <c r="C305" s="281">
        <f>C306+C307+C311+C312</f>
        <v>21864.624970000001</v>
      </c>
      <c r="D305" s="282"/>
      <c r="E305" s="282"/>
      <c r="F305" s="282">
        <f t="shared" si="65"/>
        <v>21864.624970000001</v>
      </c>
      <c r="G305" s="444">
        <f>G304*20%</f>
        <v>118187.16200000001</v>
      </c>
      <c r="H305" s="260" t="s">
        <v>1279</v>
      </c>
      <c r="I305" s="324"/>
      <c r="J305" s="331"/>
      <c r="K305" s="409"/>
      <c r="L305" s="411"/>
      <c r="M305" s="308">
        <f t="shared" ca="1" si="66"/>
        <v>4.7543951200697897E-2</v>
      </c>
      <c r="N305" s="325"/>
      <c r="O305" s="325"/>
      <c r="P305" s="325"/>
      <c r="Q305" s="309"/>
      <c r="R305" s="345"/>
      <c r="S305" s="343"/>
      <c r="T305" s="341"/>
      <c r="U305" s="341"/>
      <c r="V305" s="341"/>
      <c r="W305" s="341"/>
      <c r="X305" s="341"/>
      <c r="Y305" s="364"/>
    </row>
    <row r="306" spans="1:25" s="238" customFormat="1" ht="18" customHeight="1">
      <c r="A306" s="367" t="s">
        <v>1099</v>
      </c>
      <c r="B306" s="280" t="s">
        <v>1281</v>
      </c>
      <c r="C306" s="281">
        <f>G306*I306</f>
        <v>2363.7432400000002</v>
      </c>
      <c r="D306" s="282"/>
      <c r="E306" s="282"/>
      <c r="F306" s="282">
        <f t="shared" si="65"/>
        <v>2363.7432400000002</v>
      </c>
      <c r="G306" s="444">
        <f>G305</f>
        <v>118187.16200000001</v>
      </c>
      <c r="H306" s="260" t="s">
        <v>1279</v>
      </c>
      <c r="I306" s="324">
        <f>200/10000</f>
        <v>0.02</v>
      </c>
      <c r="J306" s="331"/>
      <c r="K306" s="409"/>
      <c r="L306" s="411"/>
      <c r="M306" s="308">
        <f t="shared" ca="1" si="66"/>
        <v>5.1398866162916702E-3</v>
      </c>
      <c r="N306" s="325"/>
      <c r="O306" s="325"/>
      <c r="P306" s="325"/>
      <c r="Q306" s="309"/>
      <c r="R306" s="345"/>
      <c r="S306" s="343"/>
      <c r="T306" s="341"/>
      <c r="U306" s="341"/>
      <c r="V306" s="341"/>
      <c r="W306" s="341"/>
      <c r="X306" s="341"/>
      <c r="Y306" s="364"/>
    </row>
    <row r="307" spans="1:25" s="238" customFormat="1" ht="18" customHeight="1">
      <c r="A307" s="367" t="s">
        <v>1100</v>
      </c>
      <c r="B307" s="280" t="s">
        <v>1365</v>
      </c>
      <c r="C307" s="281">
        <f>G307*I307</f>
        <v>14182.459440000001</v>
      </c>
      <c r="D307" s="282"/>
      <c r="E307" s="282"/>
      <c r="F307" s="282">
        <f t="shared" si="65"/>
        <v>14182.459440000001</v>
      </c>
      <c r="G307" s="444">
        <f>G306</f>
        <v>118187.16200000001</v>
      </c>
      <c r="H307" s="260" t="s">
        <v>1279</v>
      </c>
      <c r="I307" s="324">
        <f>1200/10000</f>
        <v>0.12</v>
      </c>
      <c r="J307" s="331"/>
      <c r="K307" s="409"/>
      <c r="L307" s="411"/>
      <c r="M307" s="308">
        <f t="shared" ca="1" si="66"/>
        <v>3.0839319697750001E-2</v>
      </c>
      <c r="N307" s="325"/>
      <c r="O307" s="325"/>
      <c r="P307" s="325"/>
      <c r="Q307" s="309"/>
      <c r="R307" s="345"/>
      <c r="S307" s="343"/>
      <c r="T307" s="341"/>
      <c r="U307" s="341"/>
      <c r="V307" s="341"/>
      <c r="W307" s="341"/>
      <c r="X307" s="341"/>
      <c r="Y307" s="364"/>
    </row>
    <row r="308" spans="1:25" s="238" customFormat="1" ht="18" hidden="1" customHeight="1">
      <c r="A308" s="367" t="s">
        <v>1366</v>
      </c>
      <c r="B308" s="280" t="s">
        <v>1367</v>
      </c>
      <c r="C308" s="281">
        <f>C309+C310</f>
        <v>0</v>
      </c>
      <c r="D308" s="282"/>
      <c r="E308" s="282"/>
      <c r="F308" s="282">
        <f t="shared" si="65"/>
        <v>0</v>
      </c>
      <c r="G308" s="444">
        <f>G304*30%</f>
        <v>177280.74300000002</v>
      </c>
      <c r="H308" s="260" t="s">
        <v>1279</v>
      </c>
      <c r="I308" s="455"/>
      <c r="J308" s="331"/>
      <c r="K308" s="409"/>
      <c r="L308" s="411"/>
      <c r="M308" s="308">
        <f t="shared" ca="1" si="66"/>
        <v>0</v>
      </c>
      <c r="N308" s="325"/>
      <c r="O308" s="325"/>
      <c r="P308" s="325"/>
      <c r="Q308" s="309"/>
      <c r="R308" s="345"/>
      <c r="S308" s="343"/>
      <c r="T308" s="341"/>
      <c r="U308" s="341"/>
      <c r="V308" s="341"/>
      <c r="W308" s="341"/>
      <c r="X308" s="341"/>
      <c r="Y308" s="364"/>
    </row>
    <row r="309" spans="1:25" s="238" customFormat="1" ht="18" hidden="1" customHeight="1">
      <c r="A309" s="367" t="s">
        <v>1368</v>
      </c>
      <c r="B309" s="280" t="s">
        <v>1281</v>
      </c>
      <c r="C309" s="281">
        <f>G309*I309</f>
        <v>0</v>
      </c>
      <c r="D309" s="282"/>
      <c r="E309" s="282"/>
      <c r="F309" s="282">
        <f t="shared" si="65"/>
        <v>0</v>
      </c>
      <c r="G309" s="444">
        <v>0</v>
      </c>
      <c r="H309" s="260" t="s">
        <v>1279</v>
      </c>
      <c r="I309" s="324">
        <f>200/10000</f>
        <v>0.02</v>
      </c>
      <c r="J309" s="331"/>
      <c r="K309" s="409"/>
      <c r="L309" s="411"/>
      <c r="M309" s="308">
        <f t="shared" ca="1" si="66"/>
        <v>0</v>
      </c>
      <c r="N309" s="325"/>
      <c r="O309" s="325"/>
      <c r="P309" s="325"/>
      <c r="Q309" s="309"/>
      <c r="R309" s="345"/>
      <c r="S309" s="343"/>
      <c r="T309" s="341"/>
      <c r="U309" s="341"/>
      <c r="V309" s="341"/>
      <c r="W309" s="341"/>
      <c r="X309" s="341"/>
      <c r="Y309" s="364"/>
    </row>
    <row r="310" spans="1:25" s="238" customFormat="1" ht="18" hidden="1" customHeight="1">
      <c r="A310" s="367" t="s">
        <v>1369</v>
      </c>
      <c r="B310" s="280" t="s">
        <v>1367</v>
      </c>
      <c r="C310" s="281">
        <f>G310*I310</f>
        <v>0</v>
      </c>
      <c r="D310" s="282"/>
      <c r="E310" s="282"/>
      <c r="F310" s="282">
        <f t="shared" si="65"/>
        <v>0</v>
      </c>
      <c r="G310" s="444">
        <f>G309</f>
        <v>0</v>
      </c>
      <c r="H310" s="260" t="s">
        <v>1279</v>
      </c>
      <c r="I310" s="324">
        <f>1500/10000</f>
        <v>0.15</v>
      </c>
      <c r="J310" s="331"/>
      <c r="K310" s="409"/>
      <c r="L310" s="411"/>
      <c r="M310" s="308">
        <f t="shared" ca="1" si="66"/>
        <v>0</v>
      </c>
      <c r="N310" s="325"/>
      <c r="O310" s="325"/>
      <c r="P310" s="325"/>
      <c r="Q310" s="309"/>
      <c r="R310" s="345"/>
      <c r="S310" s="343"/>
      <c r="T310" s="341"/>
      <c r="U310" s="341"/>
      <c r="V310" s="341"/>
      <c r="W310" s="341"/>
      <c r="X310" s="341"/>
      <c r="Y310" s="364"/>
    </row>
    <row r="311" spans="1:25" s="238" customFormat="1" ht="18" customHeight="1">
      <c r="A311" s="367" t="s">
        <v>1102</v>
      </c>
      <c r="B311" s="280" t="s">
        <v>1370</v>
      </c>
      <c r="C311" s="281">
        <f>G311*I311</f>
        <v>2363.7432400000002</v>
      </c>
      <c r="D311" s="282"/>
      <c r="E311" s="282"/>
      <c r="F311" s="282">
        <f t="shared" si="65"/>
        <v>2363.7432400000002</v>
      </c>
      <c r="G311" s="444">
        <f>G304</f>
        <v>590935.81000000006</v>
      </c>
      <c r="H311" s="260" t="s">
        <v>1279</v>
      </c>
      <c r="I311" s="324">
        <f>40/10000</f>
        <v>4.0000000000000001E-3</v>
      </c>
      <c r="J311" s="331"/>
      <c r="K311" s="409"/>
      <c r="L311" s="411"/>
      <c r="M311" s="308">
        <f t="shared" ca="1" si="66"/>
        <v>5.1398866162916702E-3</v>
      </c>
      <c r="N311" s="325"/>
      <c r="O311" s="325"/>
      <c r="P311" s="325"/>
      <c r="Q311" s="309"/>
      <c r="R311" s="345"/>
      <c r="S311" s="343"/>
      <c r="T311" s="341"/>
      <c r="U311" s="341"/>
      <c r="V311" s="341"/>
      <c r="W311" s="341"/>
      <c r="X311" s="341"/>
      <c r="Y311" s="364"/>
    </row>
    <row r="312" spans="1:25" s="238" customFormat="1" ht="18" customHeight="1">
      <c r="A312" s="367" t="s">
        <v>1104</v>
      </c>
      <c r="B312" s="280" t="s">
        <v>1371</v>
      </c>
      <c r="C312" s="281">
        <f>G312*I312</f>
        <v>2954.6790500000002</v>
      </c>
      <c r="D312" s="282"/>
      <c r="E312" s="282"/>
      <c r="F312" s="282">
        <f t="shared" si="65"/>
        <v>2954.6790500000002</v>
      </c>
      <c r="G312" s="444">
        <f>G304</f>
        <v>590935.81000000006</v>
      </c>
      <c r="H312" s="260" t="s">
        <v>1279</v>
      </c>
      <c r="I312" s="324">
        <f>50/10000</f>
        <v>5.0000000000000001E-3</v>
      </c>
      <c r="J312" s="331"/>
      <c r="K312" s="409"/>
      <c r="L312" s="411"/>
      <c r="M312" s="308">
        <f t="shared" ca="1" si="66"/>
        <v>6.4248582703645904E-3</v>
      </c>
      <c r="N312" s="325"/>
      <c r="O312" s="325"/>
      <c r="P312" s="325"/>
      <c r="Q312" s="309"/>
      <c r="R312" s="345"/>
      <c r="S312" s="343"/>
      <c r="T312" s="341"/>
      <c r="U312" s="341"/>
      <c r="V312" s="341"/>
      <c r="W312" s="341"/>
      <c r="X312" s="341"/>
      <c r="Y312" s="364"/>
    </row>
    <row r="313" spans="1:25" s="238" customFormat="1" ht="18" customHeight="1">
      <c r="A313" s="367" t="s">
        <v>1372</v>
      </c>
      <c r="B313" s="280" t="s">
        <v>1373</v>
      </c>
      <c r="C313" s="281">
        <f>G313*I313</f>
        <v>6204.8260050000008</v>
      </c>
      <c r="D313" s="282"/>
      <c r="E313" s="282"/>
      <c r="F313" s="282">
        <f t="shared" si="65"/>
        <v>6204.8260050000008</v>
      </c>
      <c r="G313" s="282">
        <f>G304*35%</f>
        <v>206827.53350000002</v>
      </c>
      <c r="H313" s="260" t="s">
        <v>1279</v>
      </c>
      <c r="I313" s="324">
        <f>300/10000</f>
        <v>0.03</v>
      </c>
      <c r="J313" s="331"/>
      <c r="K313" s="409"/>
      <c r="L313" s="411"/>
      <c r="M313" s="308">
        <f t="shared" ca="1" si="66"/>
        <v>1.3492202367765599E-2</v>
      </c>
      <c r="N313" s="325"/>
      <c r="O313" s="325"/>
      <c r="P313" s="325"/>
      <c r="Q313" s="309"/>
      <c r="R313" s="345"/>
      <c r="S313" s="343"/>
      <c r="T313" s="341"/>
      <c r="U313" s="341"/>
      <c r="V313" s="341"/>
      <c r="W313" s="341"/>
      <c r="X313" s="341"/>
      <c r="Y313" s="364"/>
    </row>
    <row r="314" spans="1:25" s="238" customFormat="1" ht="18" hidden="1" customHeight="1">
      <c r="A314" s="367"/>
      <c r="B314" s="280"/>
      <c r="C314" s="281"/>
      <c r="D314" s="282"/>
      <c r="E314" s="282"/>
      <c r="F314" s="282"/>
      <c r="G314" s="444"/>
      <c r="H314" s="260"/>
      <c r="I314" s="324"/>
      <c r="J314" s="331"/>
      <c r="K314" s="409"/>
      <c r="L314" s="411"/>
      <c r="M314" s="308"/>
      <c r="N314" s="325"/>
      <c r="O314" s="325"/>
      <c r="P314" s="325"/>
      <c r="Q314" s="309"/>
      <c r="R314" s="345"/>
      <c r="S314" s="343"/>
      <c r="T314" s="341"/>
      <c r="U314" s="341"/>
      <c r="V314" s="341"/>
      <c r="W314" s="341"/>
      <c r="X314" s="341"/>
      <c r="Y314" s="364"/>
    </row>
    <row r="315" spans="1:25" s="238" customFormat="1" ht="18" hidden="1" customHeight="1">
      <c r="A315" s="367"/>
      <c r="B315" s="280"/>
      <c r="C315" s="281"/>
      <c r="D315" s="282"/>
      <c r="E315" s="282"/>
      <c r="F315" s="282"/>
      <c r="G315" s="444"/>
      <c r="H315" s="260"/>
      <c r="I315" s="324"/>
      <c r="J315" s="331"/>
      <c r="K315" s="409"/>
      <c r="L315" s="411"/>
      <c r="M315" s="308"/>
      <c r="N315" s="325"/>
      <c r="O315" s="325"/>
      <c r="P315" s="325"/>
      <c r="Q315" s="309"/>
      <c r="R315" s="345"/>
      <c r="S315" s="343"/>
      <c r="T315" s="341"/>
      <c r="U315" s="341"/>
      <c r="V315" s="341"/>
      <c r="W315" s="341"/>
      <c r="X315" s="341"/>
      <c r="Y315" s="364"/>
    </row>
    <row r="316" spans="1:25" s="238" customFormat="1" ht="18" hidden="1" customHeight="1">
      <c r="A316" s="367"/>
      <c r="B316" s="280"/>
      <c r="C316" s="281"/>
      <c r="D316" s="282"/>
      <c r="E316" s="282"/>
      <c r="F316" s="282"/>
      <c r="G316" s="444"/>
      <c r="H316" s="260"/>
      <c r="I316" s="324"/>
      <c r="J316" s="331"/>
      <c r="K316" s="409"/>
      <c r="L316" s="411"/>
      <c r="M316" s="308">
        <f t="shared" ca="1" si="66"/>
        <v>0</v>
      </c>
      <c r="N316" s="325"/>
      <c r="O316" s="325"/>
      <c r="P316" s="325"/>
      <c r="Q316" s="309"/>
      <c r="R316" s="345"/>
      <c r="S316" s="343"/>
      <c r="T316" s="341"/>
      <c r="U316" s="341"/>
      <c r="V316" s="341"/>
      <c r="W316" s="341"/>
      <c r="X316" s="341"/>
      <c r="Y316" s="364"/>
    </row>
    <row r="317" spans="1:25" s="238" customFormat="1" ht="18" hidden="1" customHeight="1">
      <c r="A317" s="367"/>
      <c r="B317" s="280"/>
      <c r="C317" s="281"/>
      <c r="D317" s="282"/>
      <c r="E317" s="282"/>
      <c r="F317" s="282"/>
      <c r="G317" s="444"/>
      <c r="H317" s="260"/>
      <c r="I317" s="324"/>
      <c r="J317" s="331"/>
      <c r="K317" s="409"/>
      <c r="L317" s="411"/>
      <c r="M317" s="308">
        <f t="shared" ca="1" si="66"/>
        <v>0</v>
      </c>
      <c r="N317" s="325"/>
      <c r="O317" s="325"/>
      <c r="P317" s="325"/>
      <c r="Q317" s="309"/>
      <c r="R317" s="345"/>
      <c r="S317" s="343"/>
      <c r="T317" s="341"/>
      <c r="U317" s="341"/>
      <c r="V317" s="341"/>
      <c r="W317" s="341"/>
      <c r="X317" s="341"/>
      <c r="Y317" s="364"/>
    </row>
    <row r="318" spans="1:25" s="238" customFormat="1" ht="18" hidden="1" customHeight="1">
      <c r="A318" s="367"/>
      <c r="B318" s="280"/>
      <c r="C318" s="281"/>
      <c r="D318" s="282"/>
      <c r="E318" s="282"/>
      <c r="F318" s="282"/>
      <c r="G318" s="444"/>
      <c r="H318" s="260"/>
      <c r="I318" s="324"/>
      <c r="J318" s="331"/>
      <c r="K318" s="409"/>
      <c r="L318" s="411"/>
      <c r="M318" s="308">
        <f t="shared" ca="1" si="66"/>
        <v>0</v>
      </c>
      <c r="N318" s="325"/>
      <c r="O318" s="325"/>
      <c r="P318" s="325"/>
      <c r="Q318" s="309"/>
      <c r="R318" s="345"/>
      <c r="S318" s="343"/>
      <c r="T318" s="341"/>
      <c r="U318" s="341"/>
      <c r="V318" s="341"/>
      <c r="W318" s="341"/>
      <c r="X318" s="341"/>
      <c r="Y318" s="364"/>
    </row>
    <row r="319" spans="1:25" s="238" customFormat="1" ht="18" hidden="1" customHeight="1">
      <c r="A319" s="367"/>
      <c r="B319" s="280"/>
      <c r="C319" s="281"/>
      <c r="D319" s="282"/>
      <c r="E319" s="282"/>
      <c r="F319" s="282"/>
      <c r="G319" s="444"/>
      <c r="H319" s="260"/>
      <c r="I319" s="324"/>
      <c r="J319" s="331"/>
      <c r="K319" s="409"/>
      <c r="L319" s="411"/>
      <c r="M319" s="308">
        <f t="shared" ca="1" si="66"/>
        <v>0</v>
      </c>
      <c r="N319" s="325"/>
      <c r="O319" s="325"/>
      <c r="P319" s="325"/>
      <c r="Q319" s="309"/>
      <c r="R319" s="345"/>
      <c r="S319" s="343"/>
      <c r="T319" s="341"/>
      <c r="U319" s="341"/>
      <c r="V319" s="341"/>
      <c r="W319" s="341"/>
      <c r="X319" s="341"/>
      <c r="Y319" s="364"/>
    </row>
    <row r="320" spans="1:25" s="238" customFormat="1" ht="18" hidden="1" customHeight="1">
      <c r="A320" s="367"/>
      <c r="B320" s="280"/>
      <c r="C320" s="281"/>
      <c r="D320" s="282"/>
      <c r="E320" s="282"/>
      <c r="F320" s="282"/>
      <c r="G320" s="444"/>
      <c r="H320" s="260"/>
      <c r="I320" s="324"/>
      <c r="J320" s="331"/>
      <c r="K320" s="409"/>
      <c r="L320" s="411"/>
      <c r="M320" s="308">
        <f t="shared" ca="1" si="66"/>
        <v>0</v>
      </c>
      <c r="N320" s="325"/>
      <c r="O320" s="325"/>
      <c r="P320" s="325"/>
      <c r="Q320" s="309"/>
      <c r="R320" s="345"/>
      <c r="S320" s="343"/>
      <c r="T320" s="341"/>
      <c r="U320" s="341"/>
      <c r="V320" s="341"/>
      <c r="W320" s="341"/>
      <c r="X320" s="341"/>
      <c r="Y320" s="364"/>
    </row>
    <row r="321" spans="1:25" s="238" customFormat="1" ht="19.05" hidden="1" customHeight="1">
      <c r="A321" s="367"/>
      <c r="B321" s="280"/>
      <c r="C321" s="281"/>
      <c r="D321" s="282"/>
      <c r="E321" s="282"/>
      <c r="F321" s="282"/>
      <c r="G321" s="457"/>
      <c r="H321" s="260"/>
      <c r="I321" s="324"/>
      <c r="J321" s="331"/>
      <c r="K321" s="409"/>
      <c r="L321" s="411"/>
      <c r="M321" s="308"/>
      <c r="N321" s="330"/>
      <c r="O321" s="325"/>
      <c r="P321" s="325"/>
      <c r="Q321" s="309"/>
      <c r="R321" s="345"/>
      <c r="S321" s="343"/>
      <c r="T321" s="341"/>
      <c r="U321" s="501"/>
      <c r="V321" s="341"/>
      <c r="W321" s="341"/>
      <c r="X321" s="341"/>
      <c r="Y321" s="364"/>
    </row>
    <row r="322" spans="1:25" s="238" customFormat="1" ht="19.05" hidden="1" customHeight="1">
      <c r="A322" s="367"/>
      <c r="B322" s="280"/>
      <c r="C322" s="281"/>
      <c r="D322" s="282"/>
      <c r="E322" s="282"/>
      <c r="F322" s="282"/>
      <c r="G322" s="457"/>
      <c r="H322" s="260"/>
      <c r="I322" s="324"/>
      <c r="J322" s="331"/>
      <c r="K322" s="409"/>
      <c r="L322" s="411"/>
      <c r="M322" s="308"/>
      <c r="N322" s="325"/>
      <c r="O322" s="325"/>
      <c r="P322" s="325"/>
      <c r="Q322" s="309"/>
      <c r="R322" s="345"/>
      <c r="S322" s="343"/>
      <c r="T322" s="341"/>
      <c r="U322" s="341"/>
      <c r="V322" s="341"/>
      <c r="W322" s="341"/>
      <c r="X322" s="341"/>
      <c r="Y322" s="364"/>
    </row>
    <row r="323" spans="1:25" s="238" customFormat="1" ht="19.05" customHeight="1">
      <c r="A323" s="367" t="s">
        <v>1374</v>
      </c>
      <c r="B323" s="280" t="s">
        <v>1375</v>
      </c>
      <c r="C323" s="281"/>
      <c r="D323" s="282"/>
      <c r="E323" s="282">
        <v>678</v>
      </c>
      <c r="F323" s="282">
        <f t="shared" ref="F323:F363" si="67">E323</f>
        <v>678</v>
      </c>
      <c r="G323" s="457"/>
      <c r="H323" s="260"/>
      <c r="I323" s="324"/>
      <c r="J323" s="331"/>
      <c r="K323" s="409"/>
      <c r="L323" s="411"/>
      <c r="M323" s="308">
        <f t="shared" ca="1" si="66"/>
        <v>1.4742900442290599E-3</v>
      </c>
      <c r="N323" s="325"/>
      <c r="O323" s="325"/>
      <c r="P323" s="325"/>
      <c r="Q323" s="309"/>
      <c r="R323" s="345"/>
      <c r="S323" s="343"/>
      <c r="T323" s="341"/>
      <c r="U323" s="341"/>
      <c r="V323" s="341"/>
      <c r="W323" s="341"/>
      <c r="X323" s="341"/>
      <c r="Y323" s="364"/>
    </row>
    <row r="324" spans="1:25" s="238" customFormat="1" ht="19.05" customHeight="1">
      <c r="A324" s="367" t="s">
        <v>1376</v>
      </c>
      <c r="B324" s="280" t="s">
        <v>1377</v>
      </c>
      <c r="C324" s="281"/>
      <c r="D324" s="282"/>
      <c r="E324" s="282">
        <v>678</v>
      </c>
      <c r="F324" s="282">
        <f t="shared" si="67"/>
        <v>678</v>
      </c>
      <c r="G324" s="457"/>
      <c r="H324" s="260"/>
      <c r="I324" s="324"/>
      <c r="J324" s="331"/>
      <c r="K324" s="409"/>
      <c r="L324" s="411"/>
      <c r="M324" s="308">
        <f t="shared" ca="1" si="66"/>
        <v>1.4742900442290599E-3</v>
      </c>
      <c r="N324" s="325"/>
      <c r="O324" s="325"/>
      <c r="P324" s="325"/>
      <c r="Q324" s="309"/>
      <c r="R324" s="345"/>
      <c r="S324" s="343"/>
      <c r="T324" s="341"/>
      <c r="U324" s="341"/>
      <c r="V324" s="341"/>
      <c r="W324" s="341"/>
      <c r="X324" s="341"/>
      <c r="Y324" s="364"/>
    </row>
    <row r="325" spans="1:25" s="250" customFormat="1" ht="18" customHeight="1">
      <c r="A325" s="458" t="s">
        <v>1378</v>
      </c>
      <c r="B325" s="459" t="s">
        <v>1379</v>
      </c>
      <c r="C325" s="266"/>
      <c r="D325" s="266"/>
      <c r="E325" s="266">
        <f ca="1">SUM(E326,E329,E330,E331,E333,E337,E338,E343,E348,E349,E350,E356,E357:E363)</f>
        <v>25877.520725029899</v>
      </c>
      <c r="F325" s="266">
        <f t="shared" ca="1" si="67"/>
        <v>25877.520725029899</v>
      </c>
      <c r="G325" s="266"/>
      <c r="H325" s="258"/>
      <c r="I325" s="310"/>
      <c r="J325" s="306"/>
      <c r="K325" s="488"/>
      <c r="L325" s="489"/>
      <c r="M325" s="304">
        <f t="shared" ca="1" si="66"/>
        <v>5.6269868988558798E-2</v>
      </c>
      <c r="N325" s="300"/>
      <c r="O325" s="300"/>
      <c r="P325" s="300"/>
      <c r="Q325" s="300"/>
      <c r="R325" s="340"/>
      <c r="S325" s="502">
        <f>292000/666.67</f>
        <v>437.99781001094999</v>
      </c>
      <c r="T325" s="347"/>
      <c r="U325" s="503"/>
      <c r="V325" s="503" t="e">
        <f>#REF!+V321+V322</f>
        <v>#REF!</v>
      </c>
      <c r="W325" s="503"/>
      <c r="X325" s="503"/>
      <c r="Y325" s="503"/>
    </row>
    <row r="326" spans="1:25" s="251" customFormat="1" ht="18" customHeight="1">
      <c r="A326" s="460">
        <v>1</v>
      </c>
      <c r="B326" s="461" t="s">
        <v>1380</v>
      </c>
      <c r="C326" s="457"/>
      <c r="D326" s="457"/>
      <c r="E326" s="457">
        <f>E327+E328</f>
        <v>0</v>
      </c>
      <c r="F326" s="457">
        <f t="shared" si="67"/>
        <v>0</v>
      </c>
      <c r="G326" s="462"/>
      <c r="H326" s="462"/>
      <c r="I326" s="324"/>
      <c r="J326" s="331"/>
      <c r="K326" s="409"/>
      <c r="L326" s="411"/>
      <c r="M326" s="308">
        <f t="shared" ca="1" si="66"/>
        <v>0</v>
      </c>
      <c r="N326" s="309"/>
      <c r="O326" s="309"/>
      <c r="P326" s="309"/>
      <c r="Q326" s="309"/>
      <c r="R326" s="345"/>
      <c r="S326" s="504">
        <f>G328/666.67</f>
        <v>1.5285512394493919</v>
      </c>
      <c r="T326" s="505">
        <f>(1365-658)*300*20%</f>
        <v>42420</v>
      </c>
      <c r="U326" s="506"/>
      <c r="V326" s="506"/>
      <c r="W326" s="506"/>
      <c r="X326" s="506"/>
      <c r="Y326" s="506"/>
    </row>
    <row r="327" spans="1:25" s="251" customFormat="1" ht="18" customHeight="1">
      <c r="A327" s="460">
        <v>1.1000000000000001</v>
      </c>
      <c r="B327" s="461" t="s">
        <v>1381</v>
      </c>
      <c r="C327" s="457"/>
      <c r="D327" s="457"/>
      <c r="E327" s="457">
        <v>0</v>
      </c>
      <c r="F327" s="457">
        <f t="shared" si="67"/>
        <v>0</v>
      </c>
      <c r="G327" s="457">
        <f>679362.9/666.67</f>
        <v>1019.0392548037261</v>
      </c>
      <c r="H327" s="260" t="s">
        <v>1382</v>
      </c>
      <c r="I327" s="324">
        <v>30</v>
      </c>
      <c r="J327" s="331"/>
      <c r="K327" s="409"/>
      <c r="L327" s="411"/>
      <c r="M327" s="308">
        <f t="shared" ca="1" si="66"/>
        <v>0</v>
      </c>
      <c r="N327" s="309"/>
      <c r="O327" s="309"/>
      <c r="P327" s="309"/>
      <c r="Q327" s="309"/>
      <c r="R327" s="345"/>
      <c r="S327" s="504"/>
      <c r="T327" s="505"/>
      <c r="U327" s="506"/>
      <c r="V327" s="506"/>
      <c r="W327" s="506"/>
      <c r="X327" s="506"/>
      <c r="Y327" s="506"/>
    </row>
    <row r="328" spans="1:25" s="251" customFormat="1" ht="18" customHeight="1">
      <c r="A328" s="460">
        <v>1.2</v>
      </c>
      <c r="B328" s="461" t="s">
        <v>1383</v>
      </c>
      <c r="C328" s="457"/>
      <c r="D328" s="457"/>
      <c r="E328" s="457">
        <v>0</v>
      </c>
      <c r="F328" s="457">
        <f t="shared" si="67"/>
        <v>0</v>
      </c>
      <c r="G328" s="457">
        <f>679362.9/666.67</f>
        <v>1019.0392548037261</v>
      </c>
      <c r="H328" s="260" t="s">
        <v>1382</v>
      </c>
      <c r="I328" s="324">
        <v>20</v>
      </c>
      <c r="J328" s="331"/>
      <c r="K328" s="409"/>
      <c r="L328" s="411"/>
      <c r="M328" s="308">
        <f t="shared" ca="1" si="66"/>
        <v>0</v>
      </c>
      <c r="N328" s="309"/>
      <c r="O328" s="309"/>
      <c r="P328" s="309"/>
      <c r="Q328" s="309"/>
      <c r="R328" s="345"/>
      <c r="S328" s="504"/>
      <c r="T328" s="505"/>
      <c r="U328" s="506"/>
      <c r="V328" s="506"/>
      <c r="W328" s="506"/>
      <c r="X328" s="506"/>
      <c r="Y328" s="506"/>
    </row>
    <row r="329" spans="1:25" s="238" customFormat="1" ht="18" customHeight="1">
      <c r="A329" s="460">
        <v>1</v>
      </c>
      <c r="B329" s="463" t="s">
        <v>1384</v>
      </c>
      <c r="C329" s="457"/>
      <c r="D329" s="457"/>
      <c r="E329" s="457">
        <f ca="1">940+(F378-100000-E329)*0.4%</f>
        <v>2370.0492839292901</v>
      </c>
      <c r="F329" s="457">
        <f t="shared" ca="1" si="67"/>
        <v>2370.0492839292901</v>
      </c>
      <c r="G329" s="457"/>
      <c r="H329" s="258"/>
      <c r="I329" s="490"/>
      <c r="J329" s="491"/>
      <c r="K329" s="1183" t="s">
        <v>1385</v>
      </c>
      <c r="L329" s="1184"/>
      <c r="M329" s="308">
        <f t="shared" ca="1" si="66"/>
        <v>5.1535989139073401E-3</v>
      </c>
      <c r="N329" s="309"/>
      <c r="O329" s="309"/>
      <c r="P329" s="309"/>
      <c r="Q329" s="309"/>
      <c r="R329" s="345"/>
      <c r="S329" s="507"/>
      <c r="T329" s="341"/>
      <c r="U329" s="341"/>
      <c r="V329" s="341"/>
      <c r="W329" s="341"/>
      <c r="X329" s="341"/>
      <c r="Y329" s="341"/>
    </row>
    <row r="330" spans="1:25" s="238" customFormat="1" ht="18" customHeight="1">
      <c r="A330" s="460">
        <v>2</v>
      </c>
      <c r="B330" s="464" t="s">
        <v>1386</v>
      </c>
      <c r="C330" s="457"/>
      <c r="D330" s="457"/>
      <c r="E330" s="457">
        <f>(2712.5+(4882.6-2712.5)/(400000-200000)*(F5-200000))*0.8</f>
        <v>3300.0902685149663</v>
      </c>
      <c r="F330" s="457">
        <f t="shared" si="67"/>
        <v>3300.0902685149663</v>
      </c>
      <c r="G330" s="457"/>
      <c r="H330" s="258"/>
      <c r="I330" s="490"/>
      <c r="J330" s="491"/>
      <c r="K330" s="1183" t="s">
        <v>1387</v>
      </c>
      <c r="L330" s="1184"/>
      <c r="M330" s="308">
        <f t="shared" ca="1" si="66"/>
        <v>7.2969901231758798E-3</v>
      </c>
      <c r="N330" s="494"/>
      <c r="O330" s="309"/>
      <c r="P330" s="309"/>
      <c r="Q330" s="309"/>
      <c r="R330" s="345"/>
      <c r="S330" s="507"/>
      <c r="T330" s="341">
        <f>S326-S325</f>
        <v>-436.46925877150062</v>
      </c>
      <c r="U330" s="341"/>
      <c r="V330" s="341"/>
      <c r="W330" s="341"/>
      <c r="X330" s="341"/>
      <c r="Y330" s="341"/>
    </row>
    <row r="331" spans="1:25" s="238" customFormat="1" ht="13.8">
      <c r="A331" s="460">
        <v>3</v>
      </c>
      <c r="B331" s="463" t="s">
        <v>1388</v>
      </c>
      <c r="C331" s="457"/>
      <c r="D331" s="457"/>
      <c r="E331" s="457">
        <f ca="1">E332</f>
        <v>290</v>
      </c>
      <c r="F331" s="457">
        <f t="shared" ca="1" si="67"/>
        <v>290</v>
      </c>
      <c r="G331" s="457"/>
      <c r="H331" s="258"/>
      <c r="I331" s="490"/>
      <c r="J331" s="491"/>
      <c r="K331" s="1183"/>
      <c r="L331" s="1184"/>
      <c r="M331" s="308">
        <f t="shared" ca="1" si="66"/>
        <v>6.3059603661715102E-4</v>
      </c>
      <c r="N331" s="309"/>
      <c r="O331" s="325"/>
      <c r="P331" s="309"/>
      <c r="Q331" s="309"/>
      <c r="R331" s="345"/>
      <c r="S331" s="507"/>
      <c r="T331" s="341"/>
      <c r="U331" s="341"/>
      <c r="V331" s="341">
        <f>420*0.5*52*0.5</f>
        <v>5460</v>
      </c>
      <c r="W331" s="341"/>
      <c r="X331" s="341"/>
      <c r="Y331" s="341"/>
    </row>
    <row r="332" spans="1:25" s="252" customFormat="1" ht="13.8">
      <c r="A332" s="460">
        <v>3.1</v>
      </c>
      <c r="B332" s="463" t="s">
        <v>1389</v>
      </c>
      <c r="C332" s="457"/>
      <c r="D332" s="465"/>
      <c r="E332" s="457">
        <f ca="1">(110+(200-110)/(500000-100000)*(F378-100000))*0.8*0+290</f>
        <v>290</v>
      </c>
      <c r="F332" s="457">
        <f t="shared" ca="1" si="67"/>
        <v>290</v>
      </c>
      <c r="G332" s="457"/>
      <c r="H332" s="258"/>
      <c r="I332" s="490"/>
      <c r="J332" s="491"/>
      <c r="K332" s="1183" t="s">
        <v>1390</v>
      </c>
      <c r="L332" s="1184"/>
      <c r="M332" s="308">
        <f t="shared" ca="1" si="66"/>
        <v>6.3059603661715102E-4</v>
      </c>
      <c r="N332" s="309"/>
      <c r="O332" s="309"/>
      <c r="P332" s="309"/>
      <c r="Q332" s="309"/>
      <c r="R332" s="345"/>
      <c r="S332" s="508"/>
      <c r="T332" s="509"/>
      <c r="U332" s="509"/>
      <c r="V332" s="510">
        <f>(1.2+17866.49*0.004%)*0.88</f>
        <v>1.6849004480000003</v>
      </c>
      <c r="W332" s="509"/>
      <c r="X332" s="509"/>
      <c r="Y332" s="509"/>
    </row>
    <row r="333" spans="1:25" s="238" customFormat="1" ht="18" customHeight="1">
      <c r="A333" s="460">
        <v>4</v>
      </c>
      <c r="B333" s="463" t="s">
        <v>1391</v>
      </c>
      <c r="C333" s="457"/>
      <c r="D333" s="457"/>
      <c r="E333" s="457">
        <f>SUM(E334:E336)</f>
        <v>1016</v>
      </c>
      <c r="F333" s="457">
        <f t="shared" si="67"/>
        <v>1016</v>
      </c>
      <c r="G333" s="457"/>
      <c r="H333" s="258"/>
      <c r="I333" s="490"/>
      <c r="J333" s="491"/>
      <c r="K333" s="1183" t="s">
        <v>1392</v>
      </c>
      <c r="L333" s="1184"/>
      <c r="M333" s="308">
        <f t="shared" ca="1" si="66"/>
        <v>2.2092605972518099E-3</v>
      </c>
      <c r="N333" s="309"/>
      <c r="O333" s="309"/>
      <c r="P333" s="309"/>
      <c r="Q333" s="309"/>
      <c r="R333" s="345"/>
      <c r="S333" s="507"/>
      <c r="T333" s="341"/>
      <c r="U333" s="341"/>
      <c r="V333" s="341"/>
      <c r="W333" s="341"/>
      <c r="X333" s="341"/>
      <c r="Y333" s="341"/>
    </row>
    <row r="334" spans="1:25" s="238" customFormat="1" ht="18" customHeight="1">
      <c r="A334" s="460">
        <v>4.0999999999999996</v>
      </c>
      <c r="B334" s="463" t="s">
        <v>1393</v>
      </c>
      <c r="C334" s="457"/>
      <c r="D334" s="457"/>
      <c r="E334" s="457">
        <f>350*0.8</f>
        <v>280</v>
      </c>
      <c r="F334" s="457">
        <f t="shared" si="67"/>
        <v>280</v>
      </c>
      <c r="G334" s="457"/>
      <c r="H334" s="258"/>
      <c r="I334" s="490"/>
      <c r="J334" s="491"/>
      <c r="K334" s="1183" t="s">
        <v>1394</v>
      </c>
      <c r="L334" s="1184"/>
      <c r="M334" s="308">
        <f t="shared" ca="1" si="66"/>
        <v>6.0885134569931801E-4</v>
      </c>
      <c r="N334" s="325"/>
      <c r="O334" s="309"/>
      <c r="P334" s="309"/>
      <c r="Q334" s="309"/>
      <c r="R334" s="345"/>
      <c r="S334" s="507"/>
      <c r="T334" s="341"/>
      <c r="U334" s="341"/>
      <c r="V334" s="341"/>
      <c r="W334" s="341"/>
      <c r="X334" s="341"/>
      <c r="Y334" s="341"/>
    </row>
    <row r="335" spans="1:25" s="238" customFormat="1" ht="18" customHeight="1">
      <c r="A335" s="460">
        <v>4.2</v>
      </c>
      <c r="B335" s="463" t="s">
        <v>1395</v>
      </c>
      <c r="C335" s="457"/>
      <c r="D335" s="457"/>
      <c r="E335" s="457">
        <f>760*0.8</f>
        <v>608</v>
      </c>
      <c r="F335" s="457">
        <f t="shared" si="67"/>
        <v>608</v>
      </c>
      <c r="G335" s="457"/>
      <c r="H335" s="258"/>
      <c r="I335" s="490"/>
      <c r="J335" s="491"/>
      <c r="K335" s="1183" t="s">
        <v>1394</v>
      </c>
      <c r="L335" s="1184"/>
      <c r="M335" s="308">
        <f t="shared" ca="1" si="66"/>
        <v>1.32207720780423E-3</v>
      </c>
      <c r="N335" s="309"/>
      <c r="O335" s="309"/>
      <c r="P335" s="309"/>
      <c r="Q335" s="309"/>
      <c r="R335" s="345"/>
      <c r="S335" s="507"/>
      <c r="T335" s="341"/>
      <c r="U335" s="341"/>
      <c r="V335" s="341"/>
      <c r="W335" s="341"/>
      <c r="X335" s="341"/>
      <c r="Y335" s="341"/>
    </row>
    <row r="336" spans="1:25" s="238" customFormat="1" ht="18" customHeight="1">
      <c r="A336" s="460">
        <v>4.3</v>
      </c>
      <c r="B336" s="463" t="s">
        <v>1396</v>
      </c>
      <c r="C336" s="457"/>
      <c r="D336" s="457"/>
      <c r="E336" s="457">
        <f>160*0.8</f>
        <v>128</v>
      </c>
      <c r="F336" s="457">
        <f t="shared" si="67"/>
        <v>128</v>
      </c>
      <c r="G336" s="457"/>
      <c r="H336" s="258"/>
      <c r="I336" s="490"/>
      <c r="J336" s="491"/>
      <c r="K336" s="1183" t="s">
        <v>1392</v>
      </c>
      <c r="L336" s="1184"/>
      <c r="M336" s="308">
        <f t="shared" ca="1" si="66"/>
        <v>2.7833204374826001E-4</v>
      </c>
      <c r="N336" s="309"/>
      <c r="O336" s="309"/>
      <c r="P336" s="309"/>
      <c r="Q336" s="309"/>
      <c r="R336" s="345"/>
      <c r="S336" s="507"/>
      <c r="T336" s="341"/>
      <c r="U336" s="341"/>
      <c r="V336" s="341"/>
      <c r="W336" s="341"/>
      <c r="X336" s="341"/>
      <c r="Y336" s="341"/>
    </row>
    <row r="337" spans="1:25" s="238" customFormat="1" ht="18" customHeight="1">
      <c r="A337" s="460">
        <v>5</v>
      </c>
      <c r="B337" s="463" t="s">
        <v>1397</v>
      </c>
      <c r="C337" s="457"/>
      <c r="D337" s="457"/>
      <c r="E337" s="457">
        <f>1.5*G337/10000</f>
        <v>101.90443500000001</v>
      </c>
      <c r="F337" s="457">
        <f t="shared" si="67"/>
        <v>101.90443500000001</v>
      </c>
      <c r="G337" s="457">
        <v>679362.9</v>
      </c>
      <c r="H337" s="258" t="s">
        <v>1398</v>
      </c>
      <c r="I337" s="490"/>
      <c r="J337" s="491"/>
      <c r="K337" s="1183" t="s">
        <v>1399</v>
      </c>
      <c r="L337" s="1184"/>
      <c r="M337" s="308">
        <f t="shared" ca="1" si="66"/>
        <v>2.21588044223138E-4</v>
      </c>
      <c r="N337" s="309"/>
      <c r="O337" s="309"/>
      <c r="P337" s="309"/>
      <c r="Q337" s="309"/>
      <c r="R337" s="345"/>
      <c r="S337" s="507"/>
      <c r="T337" s="501">
        <v>1.33</v>
      </c>
      <c r="U337" s="341">
        <v>10000</v>
      </c>
      <c r="V337" s="341" t="s">
        <v>1400</v>
      </c>
      <c r="W337" s="341"/>
      <c r="X337" s="341"/>
      <c r="Y337" s="341"/>
    </row>
    <row r="338" spans="1:25" s="238" customFormat="1" ht="18" customHeight="1">
      <c r="A338" s="460">
        <v>6</v>
      </c>
      <c r="B338" s="463" t="s">
        <v>1401</v>
      </c>
      <c r="C338" s="457"/>
      <c r="D338" s="457"/>
      <c r="E338" s="457">
        <f>SUM(E339:E342)</f>
        <v>8465.8356259841476</v>
      </c>
      <c r="F338" s="457">
        <f t="shared" si="67"/>
        <v>8465.8356259841476</v>
      </c>
      <c r="G338" s="457"/>
      <c r="H338" s="258"/>
      <c r="I338" s="490"/>
      <c r="J338" s="491"/>
      <c r="K338" s="492"/>
      <c r="L338" s="493"/>
      <c r="M338" s="308">
        <f t="shared" ca="1" si="66"/>
        <v>1.8742079004665999E-2</v>
      </c>
      <c r="N338" s="309"/>
      <c r="O338" s="309"/>
      <c r="P338" s="309"/>
      <c r="Q338" s="309"/>
      <c r="R338" s="345"/>
      <c r="S338" s="507"/>
      <c r="T338" s="341"/>
      <c r="U338" s="341"/>
      <c r="V338" s="341"/>
      <c r="W338" s="341"/>
      <c r="X338" s="341"/>
      <c r="Y338" s="341"/>
    </row>
    <row r="339" spans="1:25" s="238" customFormat="1" ht="18" customHeight="1">
      <c r="A339" s="460">
        <v>6.1</v>
      </c>
      <c r="B339" s="463" t="s">
        <v>1402</v>
      </c>
      <c r="C339" s="457"/>
      <c r="D339" s="457"/>
      <c r="E339" s="457">
        <f>F5*0.8%*0.8</f>
        <v>2113.2078842559999</v>
      </c>
      <c r="F339" s="457">
        <f t="shared" si="67"/>
        <v>2113.2078842559999</v>
      </c>
      <c r="G339" s="457"/>
      <c r="H339" s="258"/>
      <c r="I339" s="490"/>
      <c r="J339" s="491"/>
      <c r="K339" s="1183" t="s">
        <v>1403</v>
      </c>
      <c r="L339" s="1184"/>
      <c r="M339" s="308">
        <f t="shared" ca="1" si="66"/>
        <v>4.6843515007561204E-3</v>
      </c>
      <c r="N339" s="309"/>
      <c r="O339" s="309"/>
      <c r="P339" s="309"/>
      <c r="Q339" s="309"/>
      <c r="R339" s="345"/>
      <c r="S339" s="507"/>
      <c r="T339" s="341"/>
      <c r="U339" s="341"/>
      <c r="V339" s="341"/>
      <c r="W339" s="341"/>
      <c r="X339" s="341"/>
      <c r="Y339" s="341"/>
    </row>
    <row r="340" spans="1:25" s="238" customFormat="1" ht="18" customHeight="1">
      <c r="A340" s="460">
        <v>6.2</v>
      </c>
      <c r="B340" s="463" t="s">
        <v>1404</v>
      </c>
      <c r="C340" s="457"/>
      <c r="D340" s="457"/>
      <c r="E340" s="457">
        <f>(4450.8+(8276.7-4450.8)/(400000-200000)*(F5-200000))*0.8</f>
        <v>5552.9962777343944</v>
      </c>
      <c r="F340" s="457">
        <f t="shared" si="67"/>
        <v>5552.9962777343944</v>
      </c>
      <c r="G340" s="457"/>
      <c r="H340" s="258"/>
      <c r="I340" s="490"/>
      <c r="J340" s="491"/>
      <c r="K340" s="1183" t="s">
        <v>1405</v>
      </c>
      <c r="L340" s="1184"/>
      <c r="M340" s="308">
        <f t="shared" ca="1" si="66"/>
        <v>1.22882233425786E-2</v>
      </c>
      <c r="N340" s="309"/>
      <c r="O340" s="309"/>
      <c r="P340" s="309"/>
      <c r="Q340" s="309"/>
      <c r="R340" s="345"/>
      <c r="S340" s="507"/>
      <c r="T340" s="341"/>
      <c r="U340" s="341"/>
      <c r="V340" s="341"/>
      <c r="W340" s="341"/>
      <c r="X340" s="341"/>
      <c r="Y340" s="341"/>
    </row>
    <row r="341" spans="1:25" s="238" customFormat="1" ht="18" customHeight="1">
      <c r="A341" s="460">
        <v>6.3</v>
      </c>
      <c r="B341" s="463" t="s">
        <v>1406</v>
      </c>
      <c r="C341" s="457"/>
      <c r="D341" s="457"/>
      <c r="E341" s="457">
        <f>E340*10%*0.8</f>
        <v>444.23970221875163</v>
      </c>
      <c r="F341" s="457">
        <f t="shared" si="67"/>
        <v>444.23970221875163</v>
      </c>
      <c r="G341" s="457"/>
      <c r="H341" s="258"/>
      <c r="I341" s="490"/>
      <c r="J341" s="491"/>
      <c r="K341" s="1183" t="s">
        <v>1405</v>
      </c>
      <c r="L341" s="1184"/>
      <c r="M341" s="308">
        <f t="shared" ca="1" si="66"/>
        <v>9.8305786740628598E-4</v>
      </c>
      <c r="N341" s="309"/>
      <c r="O341" s="309"/>
      <c r="P341" s="309"/>
      <c r="Q341" s="309"/>
      <c r="R341" s="345"/>
      <c r="S341" s="507"/>
      <c r="T341" s="341"/>
      <c r="U341" s="341"/>
      <c r="V341" s="341"/>
      <c r="W341" s="341"/>
      <c r="X341" s="341"/>
      <c r="Y341" s="341"/>
    </row>
    <row r="342" spans="1:25" s="238" customFormat="1" ht="18" customHeight="1">
      <c r="A342" s="460">
        <v>6.4</v>
      </c>
      <c r="B342" s="463" t="s">
        <v>1407</v>
      </c>
      <c r="C342" s="457"/>
      <c r="D342" s="457"/>
      <c r="E342" s="457">
        <f>E340*8%*0.8</f>
        <v>355.39176177500127</v>
      </c>
      <c r="F342" s="457">
        <f t="shared" si="67"/>
        <v>355.39176177500127</v>
      </c>
      <c r="G342" s="457"/>
      <c r="H342" s="258"/>
      <c r="I342" s="490"/>
      <c r="J342" s="491"/>
      <c r="K342" s="492"/>
      <c r="L342" s="493"/>
      <c r="M342" s="308">
        <f t="shared" ca="1" si="66"/>
        <v>7.8644629392502798E-4</v>
      </c>
      <c r="N342" s="309"/>
      <c r="O342" s="309"/>
      <c r="P342" s="309"/>
      <c r="Q342" s="309"/>
      <c r="R342" s="345"/>
      <c r="S342" s="507"/>
      <c r="T342" s="341"/>
      <c r="U342" s="341"/>
      <c r="V342" s="341"/>
      <c r="W342" s="341"/>
      <c r="X342" s="341"/>
      <c r="Y342" s="341"/>
    </row>
    <row r="343" spans="1:25" s="238" customFormat="1" ht="18" customHeight="1">
      <c r="A343" s="460">
        <v>7</v>
      </c>
      <c r="B343" s="464" t="s">
        <v>1244</v>
      </c>
      <c r="C343" s="457"/>
      <c r="D343" s="457"/>
      <c r="E343" s="457" t="e">
        <f ca="1">SUM(E344:E347)</f>
        <v>#REF!</v>
      </c>
      <c r="F343" s="457" t="e">
        <f t="shared" ca="1" si="67"/>
        <v>#REF!</v>
      </c>
      <c r="G343" s="457"/>
      <c r="H343" s="258"/>
      <c r="I343" s="490"/>
      <c r="J343" s="491"/>
      <c r="K343" s="1183" t="s">
        <v>1408</v>
      </c>
      <c r="L343" s="1184"/>
      <c r="M343" s="308">
        <f t="shared" ca="1" si="66"/>
        <v>6.6665636965382901E-3</v>
      </c>
      <c r="N343" s="309"/>
      <c r="O343" s="309"/>
      <c r="P343" s="309"/>
      <c r="Q343" s="309"/>
      <c r="R343" s="345"/>
      <c r="S343" s="507"/>
      <c r="T343" s="341"/>
      <c r="U343" s="341"/>
      <c r="V343" s="341"/>
      <c r="W343" s="341"/>
      <c r="X343" s="341"/>
      <c r="Y343" s="341"/>
    </row>
    <row r="344" spans="1:25" s="238" customFormat="1" ht="18" customHeight="1">
      <c r="A344" s="460">
        <v>7.1</v>
      </c>
      <c r="B344" s="463" t="s">
        <v>1409</v>
      </c>
      <c r="C344" s="457"/>
      <c r="D344" s="457"/>
      <c r="E344" s="457">
        <f>500*0.45%+2500*0.35%+3000*0.25%+4000*0.12%+(F5-10000)*0.05%</f>
        <v>183.39436595750001</v>
      </c>
      <c r="F344" s="457">
        <f t="shared" si="67"/>
        <v>183.39436595750001</v>
      </c>
      <c r="G344" s="457"/>
      <c r="H344" s="258"/>
      <c r="I344" s="490"/>
      <c r="J344" s="491"/>
      <c r="K344" s="1183" t="s">
        <v>1408</v>
      </c>
      <c r="L344" s="1184"/>
      <c r="M344" s="308">
        <f t="shared" ca="1" si="66"/>
        <v>4.0575774537620599E-4</v>
      </c>
      <c r="N344" s="309"/>
      <c r="O344" s="309"/>
      <c r="P344" s="309"/>
      <c r="Q344" s="309"/>
      <c r="R344" s="345"/>
      <c r="S344" s="507"/>
      <c r="T344" s="341"/>
      <c r="U344" s="341"/>
      <c r="V344" s="341"/>
      <c r="W344" s="341"/>
      <c r="X344" s="341"/>
      <c r="Y344" s="341"/>
    </row>
    <row r="345" spans="1:25" s="238" customFormat="1" ht="18" customHeight="1">
      <c r="A345" s="460">
        <v>7.2</v>
      </c>
      <c r="B345" s="463" t="s">
        <v>1410</v>
      </c>
      <c r="C345" s="457"/>
      <c r="D345" s="457"/>
      <c r="E345" s="457">
        <f>500*0.5%+2500*0.4%+3000*0.15%+4000*0.08%+(F5-10000)*0.03%</f>
        <v>116.25661957449999</v>
      </c>
      <c r="F345" s="457">
        <f t="shared" si="67"/>
        <v>116.25661957449999</v>
      </c>
      <c r="G345" s="457"/>
      <c r="H345" s="258"/>
      <c r="I345" s="490"/>
      <c r="J345" s="491"/>
      <c r="K345" s="1183" t="s">
        <v>1408</v>
      </c>
      <c r="L345" s="1184"/>
      <c r="M345" s="308">
        <f t="shared" ca="1" si="66"/>
        <v>2.56979844976615E-4</v>
      </c>
      <c r="N345" s="309"/>
      <c r="O345" s="309"/>
      <c r="P345" s="309"/>
      <c r="Q345" s="309"/>
      <c r="R345" s="345"/>
      <c r="S345" s="507"/>
      <c r="T345" s="341"/>
      <c r="U345" s="341"/>
      <c r="V345" s="341"/>
      <c r="W345" s="341"/>
      <c r="X345" s="341"/>
      <c r="Y345" s="341"/>
    </row>
    <row r="346" spans="1:25" s="252" customFormat="1" ht="13.8">
      <c r="A346" s="460">
        <v>7.3</v>
      </c>
      <c r="B346" s="466" t="s">
        <v>1133</v>
      </c>
      <c r="C346" s="457"/>
      <c r="D346" s="457"/>
      <c r="E346" s="457">
        <f>500*1.2%+2500*0.9%+3000*0.75%+4000*0.6%+(F5-10000)*0.4%</f>
        <v>1355.75492766</v>
      </c>
      <c r="F346" s="457">
        <f t="shared" si="67"/>
        <v>1355.75492766</v>
      </c>
      <c r="G346" s="457"/>
      <c r="H346" s="258"/>
      <c r="I346" s="490"/>
      <c r="J346" s="491"/>
      <c r="K346" s="1183" t="s">
        <v>1408</v>
      </c>
      <c r="L346" s="1184"/>
      <c r="M346" s="308">
        <f t="shared" ca="1" si="66"/>
        <v>3.0038261061849899E-3</v>
      </c>
      <c r="N346" s="309"/>
      <c r="O346" s="309"/>
      <c r="P346" s="309"/>
      <c r="Q346" s="309"/>
      <c r="R346" s="345"/>
      <c r="S346" s="508"/>
      <c r="T346" s="509"/>
      <c r="U346" s="509"/>
      <c r="V346" s="509"/>
      <c r="W346" s="509"/>
      <c r="X346" s="509"/>
      <c r="Y346" s="509"/>
    </row>
    <row r="347" spans="1:25" s="238" customFormat="1" ht="13.8">
      <c r="A347" s="460">
        <v>7.4</v>
      </c>
      <c r="B347" s="463" t="s">
        <v>1411</v>
      </c>
      <c r="C347" s="457"/>
      <c r="D347" s="457"/>
      <c r="E347" s="457">
        <f ca="1">F378*0.3%</f>
        <v>1379.64711079876</v>
      </c>
      <c r="F347" s="457">
        <f t="shared" ca="1" si="67"/>
        <v>1379.64711079876</v>
      </c>
      <c r="G347" s="457"/>
      <c r="H347" s="258"/>
      <c r="I347" s="490"/>
      <c r="J347" s="491"/>
      <c r="K347" s="1183" t="s">
        <v>1408</v>
      </c>
      <c r="L347" s="1184"/>
      <c r="M347" s="308">
        <f t="shared" ca="1" si="66"/>
        <v>3.0000000000000001E-3</v>
      </c>
      <c r="N347" s="309"/>
      <c r="O347" s="309"/>
      <c r="P347" s="309"/>
      <c r="Q347" s="309"/>
      <c r="R347" s="345"/>
      <c r="S347" s="507"/>
      <c r="T347" s="341"/>
      <c r="U347" s="341"/>
      <c r="V347" s="341"/>
      <c r="W347" s="341"/>
      <c r="X347" s="341"/>
      <c r="Y347" s="341"/>
    </row>
    <row r="348" spans="1:25" s="238" customFormat="1" ht="18" customHeight="1">
      <c r="A348" s="460">
        <v>8</v>
      </c>
      <c r="B348" s="463" t="s">
        <v>1412</v>
      </c>
      <c r="C348" s="457"/>
      <c r="D348" s="457"/>
      <c r="E348" s="457">
        <f>F5*0.5%</f>
        <v>1650.9436595750001</v>
      </c>
      <c r="F348" s="457">
        <f t="shared" si="67"/>
        <v>1650.9436595750001</v>
      </c>
      <c r="G348" s="457"/>
      <c r="H348" s="258"/>
      <c r="I348" s="490"/>
      <c r="J348" s="491"/>
      <c r="K348" s="1183" t="s">
        <v>1413</v>
      </c>
      <c r="L348" s="1184"/>
      <c r="M348" s="308">
        <f t="shared" ca="1" si="66"/>
        <v>3.6596496099657199E-3</v>
      </c>
      <c r="N348" s="309"/>
      <c r="O348" s="309"/>
      <c r="P348" s="309"/>
      <c r="Q348" s="309"/>
      <c r="R348" s="345"/>
      <c r="S348" s="507"/>
      <c r="T348" s="341"/>
      <c r="U348" s="341"/>
      <c r="V348" s="341"/>
      <c r="W348" s="341"/>
      <c r="X348" s="341"/>
      <c r="Y348" s="341"/>
    </row>
    <row r="349" spans="1:25" s="238" customFormat="1" ht="18" customHeight="1">
      <c r="A349" s="460">
        <v>9</v>
      </c>
      <c r="B349" s="463" t="s">
        <v>1414</v>
      </c>
      <c r="C349" s="467"/>
      <c r="D349" s="467"/>
      <c r="E349" s="457">
        <f>F5*0.5%</f>
        <v>1650.9436595750001</v>
      </c>
      <c r="F349" s="457">
        <f t="shared" si="67"/>
        <v>1650.9436595750001</v>
      </c>
      <c r="G349" s="457"/>
      <c r="H349" s="258"/>
      <c r="I349" s="490"/>
      <c r="J349" s="491"/>
      <c r="K349" s="1183" t="s">
        <v>1415</v>
      </c>
      <c r="L349" s="1184"/>
      <c r="M349" s="308">
        <f t="shared" ca="1" si="66"/>
        <v>3.6596496099657199E-3</v>
      </c>
      <c r="N349" s="309"/>
      <c r="O349" s="309"/>
      <c r="P349" s="309"/>
      <c r="Q349" s="309"/>
      <c r="R349" s="345"/>
      <c r="S349" s="507"/>
      <c r="T349" s="341"/>
      <c r="U349" s="341"/>
      <c r="V349" s="341"/>
      <c r="W349" s="341"/>
      <c r="X349" s="341"/>
      <c r="Y349" s="341"/>
    </row>
    <row r="350" spans="1:25" s="238" customFormat="1" ht="12" customHeight="1">
      <c r="A350" s="460">
        <v>10</v>
      </c>
      <c r="B350" s="463" t="s">
        <v>1416</v>
      </c>
      <c r="C350" s="467"/>
      <c r="D350" s="467"/>
      <c r="E350" s="457">
        <f>E352+E351</f>
        <v>138.50511485116181</v>
      </c>
      <c r="F350" s="457">
        <f t="shared" si="67"/>
        <v>138.50511485116181</v>
      </c>
      <c r="G350" s="457"/>
      <c r="H350" s="258"/>
      <c r="I350" s="490"/>
      <c r="J350" s="491"/>
      <c r="K350" s="1183" t="s">
        <v>1417</v>
      </c>
      <c r="L350" s="1184"/>
      <c r="M350" s="308">
        <f t="shared" ca="1" si="66"/>
        <v>3.0330869913179799E-4</v>
      </c>
      <c r="N350" s="309"/>
      <c r="O350" s="309"/>
      <c r="P350" s="309"/>
      <c r="Q350" s="309"/>
      <c r="R350" s="345"/>
      <c r="S350" s="507"/>
      <c r="T350" s="341"/>
      <c r="U350" s="341"/>
      <c r="V350" s="341"/>
      <c r="W350" s="341"/>
      <c r="X350" s="341"/>
      <c r="Y350" s="341"/>
    </row>
    <row r="351" spans="1:25" s="238" customFormat="1" ht="12" customHeight="1">
      <c r="A351" s="460">
        <v>10.1</v>
      </c>
      <c r="B351" s="463" t="s">
        <v>1418</v>
      </c>
      <c r="C351" s="467"/>
      <c r="D351" s="467"/>
      <c r="E351" s="457">
        <f>(100*1%+400*0.7%+500*0.55%+4000*0.35%+5000*0.2%+90000*0.05%+(F5-100000)*0.01%)*1</f>
        <v>98.568873191500003</v>
      </c>
      <c r="F351" s="457">
        <f t="shared" si="67"/>
        <v>98.568873191500003</v>
      </c>
      <c r="G351" s="457"/>
      <c r="H351" s="258"/>
      <c r="I351" s="490"/>
      <c r="J351" s="491"/>
      <c r="K351" s="492"/>
      <c r="L351" s="493"/>
      <c r="M351" s="308">
        <f t="shared" ca="1" si="66"/>
        <v>2.15729441165708E-4</v>
      </c>
      <c r="N351" s="309"/>
      <c r="O351" s="309"/>
      <c r="P351" s="309"/>
      <c r="Q351" s="309"/>
      <c r="R351" s="345"/>
      <c r="S351" s="507"/>
      <c r="T351" s="341"/>
      <c r="U351" s="341"/>
      <c r="V351" s="341"/>
      <c r="W351" s="341"/>
      <c r="X351" s="341"/>
      <c r="Y351" s="341"/>
    </row>
    <row r="352" spans="1:25" s="238" customFormat="1" ht="12" customHeight="1">
      <c r="A352" s="460">
        <v>10.199999999999999</v>
      </c>
      <c r="B352" s="463" t="s">
        <v>1419</v>
      </c>
      <c r="C352" s="467"/>
      <c r="D352" s="467"/>
      <c r="E352" s="457">
        <f>SUM(E353:E355)</f>
        <v>39.936241659661817</v>
      </c>
      <c r="F352" s="457">
        <f t="shared" si="67"/>
        <v>39.936241659661817</v>
      </c>
      <c r="G352" s="457"/>
      <c r="H352" s="258"/>
      <c r="I352" s="490"/>
      <c r="J352" s="491"/>
      <c r="K352" s="492"/>
      <c r="L352" s="493"/>
      <c r="M352" s="308">
        <f t="shared" ca="1" si="66"/>
        <v>8.757925796609E-5</v>
      </c>
      <c r="N352" s="309"/>
      <c r="O352" s="309"/>
      <c r="P352" s="309"/>
      <c r="Q352" s="309"/>
      <c r="R352" s="345"/>
      <c r="S352" s="507"/>
      <c r="T352" s="341"/>
      <c r="U352" s="341"/>
      <c r="V352" s="341"/>
      <c r="W352" s="341"/>
      <c r="X352" s="341"/>
      <c r="Y352" s="341"/>
    </row>
    <row r="353" spans="1:25" s="238" customFormat="1" ht="12" customHeight="1">
      <c r="A353" s="460" t="s">
        <v>1143</v>
      </c>
      <c r="B353" s="463" t="s">
        <v>1420</v>
      </c>
      <c r="C353" s="467"/>
      <c r="D353" s="467"/>
      <c r="E353" s="457">
        <f>100*1.5%+400*0.8%+500*0.45%+4000*0.25%+(E340-5000)*0.1%</f>
        <v>17.502996277734397</v>
      </c>
      <c r="F353" s="457">
        <f t="shared" si="67"/>
        <v>17.502996277734397</v>
      </c>
      <c r="G353" s="457"/>
      <c r="H353" s="258"/>
      <c r="I353" s="490"/>
      <c r="J353" s="491"/>
      <c r="K353" s="492"/>
      <c r="L353" s="493"/>
      <c r="M353" s="308">
        <f t="shared" ca="1" si="66"/>
        <v>3.8273128989388802E-5</v>
      </c>
      <c r="N353" s="309"/>
      <c r="O353" s="309"/>
      <c r="P353" s="309"/>
      <c r="Q353" s="309"/>
      <c r="R353" s="345"/>
      <c r="S353" s="507"/>
      <c r="T353" s="341"/>
      <c r="U353" s="341"/>
      <c r="V353" s="341"/>
      <c r="W353" s="341"/>
      <c r="X353" s="341"/>
      <c r="Y353" s="341"/>
    </row>
    <row r="354" spans="1:25" s="238" customFormat="1" ht="12" customHeight="1">
      <c r="A354" s="460" t="s">
        <v>1145</v>
      </c>
      <c r="B354" s="463" t="s">
        <v>1421</v>
      </c>
      <c r="C354" s="467"/>
      <c r="D354" s="467"/>
      <c r="E354" s="457">
        <f>100*1.5%+400*0.8%+500*0.45%+(E339-1000)*0.25%</f>
        <v>9.7330197106400007</v>
      </c>
      <c r="F354" s="457">
        <f t="shared" si="67"/>
        <v>9.7330197106400007</v>
      </c>
      <c r="G354" s="457"/>
      <c r="H354" s="258"/>
      <c r="I354" s="490"/>
      <c r="J354" s="491"/>
      <c r="K354" s="492"/>
      <c r="L354" s="493"/>
      <c r="M354" s="308">
        <f t="shared" ca="1" si="66"/>
        <v>2.1387266210325899E-5</v>
      </c>
      <c r="N354" s="309"/>
      <c r="O354" s="309"/>
      <c r="P354" s="309"/>
      <c r="Q354" s="309"/>
      <c r="R354" s="345"/>
      <c r="S354" s="507"/>
      <c r="T354" s="341"/>
      <c r="U354" s="341"/>
      <c r="V354" s="341"/>
      <c r="W354" s="341"/>
      <c r="X354" s="341"/>
      <c r="Y354" s="341"/>
    </row>
    <row r="355" spans="1:25" s="238" customFormat="1" ht="12" customHeight="1">
      <c r="A355" s="460" t="s">
        <v>1147</v>
      </c>
      <c r="B355" s="463" t="s">
        <v>1422</v>
      </c>
      <c r="C355" s="467"/>
      <c r="D355" s="467"/>
      <c r="E355" s="457">
        <f>100*1.5%+400*0.8%+500*0.45%+(E330-1000)*0.25%</f>
        <v>12.700225671287416</v>
      </c>
      <c r="F355" s="457">
        <f t="shared" si="67"/>
        <v>12.700225671287416</v>
      </c>
      <c r="G355" s="457"/>
      <c r="H355" s="258"/>
      <c r="I355" s="490"/>
      <c r="J355" s="491"/>
      <c r="K355" s="492"/>
      <c r="L355" s="493"/>
      <c r="M355" s="308">
        <f t="shared" ca="1" si="66"/>
        <v>2.7918862766375299E-5</v>
      </c>
      <c r="N355" s="309"/>
      <c r="O355" s="309"/>
      <c r="P355" s="309"/>
      <c r="Q355" s="309"/>
      <c r="R355" s="345"/>
      <c r="S355" s="507"/>
      <c r="T355" s="341"/>
      <c r="U355" s="341"/>
      <c r="V355" s="341"/>
      <c r="W355" s="341"/>
      <c r="X355" s="341"/>
      <c r="Y355" s="341"/>
    </row>
    <row r="356" spans="1:25" s="238" customFormat="1" ht="12" customHeight="1">
      <c r="A356" s="460">
        <v>11</v>
      </c>
      <c r="B356" s="463" t="s">
        <v>1423</v>
      </c>
      <c r="C356" s="467"/>
      <c r="D356" s="467"/>
      <c r="E356" s="457">
        <f ca="1">35+(75-35)/(500000-100000)*(F378-100000)</f>
        <v>70.9882370266252</v>
      </c>
      <c r="F356" s="457">
        <f t="shared" ca="1" si="67"/>
        <v>70.9882370266252</v>
      </c>
      <c r="G356" s="457"/>
      <c r="H356" s="260"/>
      <c r="I356" s="324"/>
      <c r="J356" s="331"/>
      <c r="K356" s="1183"/>
      <c r="L356" s="1184"/>
      <c r="M356" s="308">
        <f t="shared" ca="1" si="66"/>
        <v>1.54361727294582E-4</v>
      </c>
      <c r="N356" s="309"/>
      <c r="O356" s="309"/>
      <c r="P356" s="309"/>
      <c r="Q356" s="309"/>
      <c r="R356" s="345"/>
      <c r="S356" s="507"/>
      <c r="T356" s="341"/>
      <c r="U356" s="341"/>
      <c r="V356" s="341"/>
      <c r="W356" s="341"/>
      <c r="X356" s="341"/>
      <c r="Y356" s="341"/>
    </row>
    <row r="357" spans="1:25" s="238" customFormat="1" ht="12" customHeight="1">
      <c r="A357" s="460">
        <v>12</v>
      </c>
      <c r="B357" s="463" t="s">
        <v>1424</v>
      </c>
      <c r="C357" s="467"/>
      <c r="D357" s="467"/>
      <c r="E357" s="457">
        <f ca="1">(25+(F378-100000)*0.00625%)*1.2*2</f>
        <v>113.982355539938</v>
      </c>
      <c r="F357" s="457">
        <f t="shared" ca="1" si="67"/>
        <v>113.982355539938</v>
      </c>
      <c r="G357" s="457"/>
      <c r="H357" s="260"/>
      <c r="I357" s="324"/>
      <c r="J357" s="331"/>
      <c r="K357" s="492"/>
      <c r="L357" s="493"/>
      <c r="M357" s="308">
        <f t="shared" ca="1" si="66"/>
        <v>2.4785110913024802E-4</v>
      </c>
      <c r="N357" s="309"/>
      <c r="O357" s="309"/>
      <c r="P357" s="309"/>
      <c r="Q357" s="309"/>
      <c r="R357" s="345"/>
      <c r="S357" s="507"/>
      <c r="T357" s="341"/>
      <c r="U357" s="341"/>
      <c r="V357" s="341"/>
      <c r="W357" s="341"/>
      <c r="X357" s="341"/>
      <c r="Y357" s="341"/>
    </row>
    <row r="358" spans="1:25" s="238" customFormat="1" ht="12" customHeight="1">
      <c r="A358" s="460">
        <v>13</v>
      </c>
      <c r="B358" s="463" t="s">
        <v>1425</v>
      </c>
      <c r="C358" s="467"/>
      <c r="D358" s="467"/>
      <c r="E358" s="457">
        <f>20*2</f>
        <v>40</v>
      </c>
      <c r="F358" s="457">
        <f t="shared" si="67"/>
        <v>40</v>
      </c>
      <c r="G358" s="457"/>
      <c r="H358" s="260"/>
      <c r="I358" s="324"/>
      <c r="J358" s="331"/>
      <c r="K358" s="492"/>
      <c r="L358" s="493"/>
      <c r="M358" s="308">
        <f t="shared" ca="1" si="66"/>
        <v>8.6978763671331202E-5</v>
      </c>
      <c r="N358" s="309"/>
      <c r="O358" s="309"/>
      <c r="P358" s="309"/>
      <c r="Q358" s="309"/>
      <c r="R358" s="345"/>
      <c r="S358" s="507"/>
      <c r="T358" s="341"/>
      <c r="U358" s="341"/>
      <c r="V358" s="341"/>
      <c r="W358" s="341"/>
      <c r="X358" s="341"/>
      <c r="Y358" s="341"/>
    </row>
    <row r="359" spans="1:25" s="238" customFormat="1" ht="12" customHeight="1">
      <c r="A359" s="460">
        <v>14</v>
      </c>
      <c r="B359" s="463" t="s">
        <v>1426</v>
      </c>
      <c r="C359" s="467"/>
      <c r="D359" s="467"/>
      <c r="E359" s="457">
        <f>SUM(G8,G21,G34,G52,G62,G74,G87,G100,G113,G125,G137,G149,G161,G173,G185,G197,G211,G223,G236,G248,G278,G282,G286,G290,G294)*18/10000</f>
        <v>782.13779999999997</v>
      </c>
      <c r="F359" s="457">
        <f t="shared" si="67"/>
        <v>782.13779999999997</v>
      </c>
      <c r="G359" s="457"/>
      <c r="H359" s="260"/>
      <c r="I359" s="324"/>
      <c r="J359" s="331"/>
      <c r="K359" s="492"/>
      <c r="L359" s="493"/>
      <c r="M359" s="308">
        <f t="shared" ca="1" si="66"/>
        <v>1.70073447161537E-3</v>
      </c>
      <c r="N359" s="309"/>
      <c r="O359" s="309"/>
      <c r="P359" s="309"/>
      <c r="Q359" s="309"/>
      <c r="R359" s="345"/>
      <c r="S359" s="507"/>
      <c r="T359" s="341"/>
      <c r="U359" s="341"/>
      <c r="V359" s="341"/>
      <c r="W359" s="341"/>
      <c r="X359" s="341"/>
      <c r="Y359" s="341"/>
    </row>
    <row r="360" spans="1:25" s="238" customFormat="1" ht="12" customHeight="1">
      <c r="A360" s="460">
        <v>15</v>
      </c>
      <c r="B360" s="463" t="s">
        <v>1427</v>
      </c>
      <c r="C360" s="467"/>
      <c r="D360" s="467"/>
      <c r="E360" s="457">
        <f>20*2</f>
        <v>40</v>
      </c>
      <c r="F360" s="457">
        <f t="shared" si="67"/>
        <v>40</v>
      </c>
      <c r="G360" s="457"/>
      <c r="H360" s="260"/>
      <c r="I360" s="324"/>
      <c r="J360" s="331"/>
      <c r="K360" s="492"/>
      <c r="L360" s="493"/>
      <c r="M360" s="308">
        <f t="shared" ca="1" si="66"/>
        <v>8.6978763671331202E-5</v>
      </c>
      <c r="N360" s="309"/>
      <c r="O360" s="309"/>
      <c r="P360" s="309"/>
      <c r="Q360" s="309"/>
      <c r="R360" s="345"/>
      <c r="S360" s="507"/>
      <c r="T360" s="341"/>
      <c r="U360" s="341"/>
      <c r="V360" s="341"/>
      <c r="W360" s="341"/>
      <c r="X360" s="341"/>
      <c r="Y360" s="341"/>
    </row>
    <row r="361" spans="1:25" s="238" customFormat="1" ht="12" customHeight="1">
      <c r="A361" s="460">
        <v>16</v>
      </c>
      <c r="B361" s="463" t="s">
        <v>1428</v>
      </c>
      <c r="C361" s="467"/>
      <c r="D361" s="467"/>
      <c r="E361" s="457">
        <v>50</v>
      </c>
      <c r="F361" s="457">
        <f t="shared" si="67"/>
        <v>50</v>
      </c>
      <c r="G361" s="457"/>
      <c r="H361" s="260"/>
      <c r="I361" s="324"/>
      <c r="J361" s="331"/>
      <c r="K361" s="492"/>
      <c r="L361" s="493"/>
      <c r="M361" s="308">
        <f t="shared" ca="1" si="66"/>
        <v>1.08723454589164E-4</v>
      </c>
      <c r="N361" s="309"/>
      <c r="O361" s="309"/>
      <c r="P361" s="309"/>
      <c r="Q361" s="309"/>
      <c r="R361" s="345"/>
      <c r="S361" s="511">
        <f ca="1">F378-F5</f>
        <v>123280.702871252</v>
      </c>
      <c r="T361" s="341"/>
      <c r="U361" s="341"/>
      <c r="V361" s="341"/>
      <c r="W361" s="341"/>
      <c r="X361" s="341"/>
      <c r="Y361" s="341"/>
    </row>
    <row r="362" spans="1:25" s="238" customFormat="1" ht="12" customHeight="1">
      <c r="A362" s="460">
        <v>17</v>
      </c>
      <c r="B362" s="463" t="s">
        <v>1429</v>
      </c>
      <c r="C362" s="467"/>
      <c r="D362" s="467"/>
      <c r="E362" s="457">
        <v>100</v>
      </c>
      <c r="F362" s="457">
        <f t="shared" si="67"/>
        <v>100</v>
      </c>
      <c r="G362" s="457"/>
      <c r="H362" s="260"/>
      <c r="I362" s="324"/>
      <c r="J362" s="331"/>
      <c r="K362" s="492"/>
      <c r="L362" s="493"/>
      <c r="M362" s="308">
        <f t="shared" ca="1" si="66"/>
        <v>2.1744690917832799E-4</v>
      </c>
      <c r="N362" s="309"/>
      <c r="O362" s="309"/>
      <c r="P362" s="309"/>
      <c r="Q362" s="309"/>
      <c r="R362" s="345"/>
      <c r="S362" s="507"/>
      <c r="T362" s="341"/>
      <c r="U362" s="341"/>
      <c r="V362" s="341"/>
      <c r="W362" s="341"/>
      <c r="X362" s="341"/>
      <c r="Y362" s="341"/>
    </row>
    <row r="363" spans="1:25" s="238" customFormat="1" ht="12" customHeight="1">
      <c r="A363" s="460">
        <v>18</v>
      </c>
      <c r="B363" s="468" t="s">
        <v>1247</v>
      </c>
      <c r="C363" s="467"/>
      <c r="D363" s="467"/>
      <c r="E363" s="457">
        <f>F5*0.7%</f>
        <v>2311.321123405</v>
      </c>
      <c r="F363" s="457">
        <f t="shared" si="67"/>
        <v>2311.321123405</v>
      </c>
      <c r="G363" s="457"/>
      <c r="H363" s="260"/>
      <c r="I363" s="324"/>
      <c r="J363" s="331"/>
      <c r="K363" s="492"/>
      <c r="L363" s="493"/>
      <c r="M363" s="308">
        <f t="shared" ca="1" si="66"/>
        <v>5.1235094539520002E-3</v>
      </c>
      <c r="N363" s="309"/>
      <c r="O363" s="309"/>
      <c r="P363" s="309"/>
      <c r="Q363" s="309"/>
      <c r="R363" s="345"/>
      <c r="S363" s="507"/>
      <c r="T363" s="341"/>
      <c r="U363" s="341"/>
      <c r="V363" s="341"/>
      <c r="W363" s="341"/>
      <c r="X363" s="341"/>
      <c r="Y363" s="341"/>
    </row>
    <row r="364" spans="1:25" s="239" customFormat="1" ht="18" customHeight="1">
      <c r="A364" s="257" t="s">
        <v>1430</v>
      </c>
      <c r="B364" s="459" t="s">
        <v>1431</v>
      </c>
      <c r="C364" s="266"/>
      <c r="D364" s="266"/>
      <c r="E364" s="266"/>
      <c r="F364" s="266">
        <f ca="1">(F5+F325)*5%</f>
        <v>18123.959406001501</v>
      </c>
      <c r="G364" s="457"/>
      <c r="H364" s="463"/>
      <c r="I364" s="495"/>
      <c r="J364" s="496"/>
      <c r="K364" s="1185" t="s">
        <v>1159</v>
      </c>
      <c r="L364" s="1185"/>
      <c r="M364" s="308">
        <f t="shared" ca="1" si="66"/>
        <v>3.9409989549085103E-2</v>
      </c>
      <c r="N364" s="309"/>
      <c r="O364" s="309"/>
      <c r="P364" s="309"/>
      <c r="Q364" s="309"/>
      <c r="R364" s="345"/>
      <c r="S364" s="507"/>
      <c r="T364" s="364"/>
      <c r="U364" s="344"/>
      <c r="V364" s="344"/>
      <c r="W364" s="344"/>
      <c r="X364" s="344"/>
      <c r="Y364" s="344"/>
    </row>
    <row r="365" spans="1:25" s="239" customFormat="1" ht="18" customHeight="1">
      <c r="A365" s="257" t="s">
        <v>1432</v>
      </c>
      <c r="B365" s="459" t="s">
        <v>1433</v>
      </c>
      <c r="C365" s="266"/>
      <c r="D365" s="266"/>
      <c r="E365" s="266">
        <f>E366+E369+E370+E371</f>
        <v>55251.962740186304</v>
      </c>
      <c r="F365" s="266">
        <f>E365</f>
        <v>55251.962740186304</v>
      </c>
      <c r="G365" s="457"/>
      <c r="H365" s="463"/>
      <c r="I365" s="495"/>
      <c r="J365" s="496"/>
      <c r="K365" s="492"/>
      <c r="L365" s="493"/>
      <c r="M365" s="308">
        <f t="shared" ca="1" si="66"/>
        <v>0.120143685238897</v>
      </c>
      <c r="N365" s="309"/>
      <c r="O365" s="309"/>
      <c r="P365" s="309"/>
      <c r="Q365" s="309"/>
      <c r="R365" s="345"/>
      <c r="S365" s="507"/>
      <c r="T365" s="364"/>
      <c r="U365" s="344"/>
      <c r="V365" s="344"/>
      <c r="W365" s="344"/>
      <c r="X365" s="344"/>
      <c r="Y365" s="344"/>
    </row>
    <row r="366" spans="1:25" s="253" customFormat="1" ht="18" customHeight="1">
      <c r="A366" s="444">
        <v>1</v>
      </c>
      <c r="B366" s="461" t="s">
        <v>1380</v>
      </c>
      <c r="C366" s="457"/>
      <c r="D366" s="457"/>
      <c r="E366" s="457">
        <f>E367+E368</f>
        <v>50951.962740186304</v>
      </c>
      <c r="F366" s="457">
        <f>E366</f>
        <v>50951.962740186304</v>
      </c>
      <c r="G366" s="457"/>
      <c r="H366" s="463"/>
      <c r="I366" s="495"/>
      <c r="J366" s="496"/>
      <c r="K366" s="492"/>
      <c r="L366" s="493"/>
      <c r="M366" s="308">
        <f t="shared" ref="M366:M378" ca="1" si="68">F366/$F$378*100%</f>
        <v>0.110793468144228</v>
      </c>
      <c r="N366" s="309"/>
      <c r="O366" s="309"/>
      <c r="P366" s="309"/>
      <c r="Q366" s="309"/>
      <c r="R366" s="345"/>
      <c r="S366" s="507"/>
      <c r="T366" s="364"/>
      <c r="U366" s="341"/>
      <c r="V366" s="341"/>
      <c r="W366" s="341"/>
      <c r="X366" s="341"/>
      <c r="Y366" s="341"/>
    </row>
    <row r="367" spans="1:25" s="253" customFormat="1" ht="18" customHeight="1">
      <c r="A367" s="444">
        <v>1.1000000000000001</v>
      </c>
      <c r="B367" s="461" t="s">
        <v>1381</v>
      </c>
      <c r="C367" s="457"/>
      <c r="D367" s="457"/>
      <c r="E367" s="457">
        <f>G367*I367</f>
        <v>30571.177644111784</v>
      </c>
      <c r="F367" s="457">
        <f>E367</f>
        <v>30571.177644111784</v>
      </c>
      <c r="G367" s="457">
        <f>679362.9/666.67</f>
        <v>1019.0392548037261</v>
      </c>
      <c r="H367" s="259" t="s">
        <v>1434</v>
      </c>
      <c r="I367" s="324">
        <v>30</v>
      </c>
      <c r="J367" s="496"/>
      <c r="K367" s="492"/>
      <c r="L367" s="493"/>
      <c r="M367" s="308">
        <f t="shared" ca="1" si="68"/>
        <v>6.6476080886537101E-2</v>
      </c>
      <c r="N367" s="309"/>
      <c r="O367" s="309"/>
      <c r="P367" s="309"/>
      <c r="Q367" s="309"/>
      <c r="R367" s="345"/>
      <c r="S367" s="507"/>
      <c r="T367" s="364"/>
      <c r="U367" s="341"/>
      <c r="V367" s="341"/>
      <c r="W367" s="341"/>
      <c r="X367" s="341"/>
      <c r="Y367" s="341"/>
    </row>
    <row r="368" spans="1:25" s="253" customFormat="1" ht="18" customHeight="1">
      <c r="A368" s="444">
        <v>1.2</v>
      </c>
      <c r="B368" s="461" t="s">
        <v>1383</v>
      </c>
      <c r="C368" s="457"/>
      <c r="D368" s="457"/>
      <c r="E368" s="457">
        <f>G368*I368</f>
        <v>20380.78509607452</v>
      </c>
      <c r="F368" s="457">
        <f>E368</f>
        <v>20380.78509607452</v>
      </c>
      <c r="G368" s="457">
        <f>679362.9/666.67</f>
        <v>1019.0392548037261</v>
      </c>
      <c r="H368" s="259" t="s">
        <v>1434</v>
      </c>
      <c r="I368" s="324">
        <v>20</v>
      </c>
      <c r="J368" s="496"/>
      <c r="K368" s="492"/>
      <c r="L368" s="493"/>
      <c r="M368" s="308">
        <f t="shared" ca="1" si="68"/>
        <v>4.4317387257691299E-2</v>
      </c>
      <c r="N368" s="309"/>
      <c r="O368" s="309"/>
      <c r="P368" s="309"/>
      <c r="Q368" s="309"/>
      <c r="R368" s="345"/>
      <c r="S368" s="507"/>
      <c r="T368" s="364"/>
      <c r="U368" s="341"/>
      <c r="V368" s="341"/>
      <c r="W368" s="341"/>
      <c r="X368" s="341"/>
      <c r="Y368" s="341"/>
    </row>
    <row r="369" spans="1:25" s="253" customFormat="1" ht="18" customHeight="1">
      <c r="A369" s="444">
        <v>2</v>
      </c>
      <c r="B369" s="461" t="s">
        <v>1435</v>
      </c>
      <c r="C369" s="457"/>
      <c r="D369" s="457"/>
      <c r="E369" s="469">
        <v>3000</v>
      </c>
      <c r="F369" s="457">
        <f>E369</f>
        <v>3000</v>
      </c>
      <c r="G369" s="457"/>
      <c r="H369" s="463"/>
      <c r="I369" s="495"/>
      <c r="J369" s="496"/>
      <c r="K369" s="492"/>
      <c r="L369" s="493"/>
      <c r="M369" s="308">
        <f t="shared" ca="1" si="68"/>
        <v>6.5234072753498403E-3</v>
      </c>
      <c r="N369" s="309"/>
      <c r="O369" s="309"/>
      <c r="P369" s="309"/>
      <c r="Q369" s="309"/>
      <c r="R369" s="345"/>
      <c r="S369" s="507"/>
      <c r="T369" s="364"/>
      <c r="U369" s="341"/>
      <c r="V369" s="341"/>
      <c r="W369" s="341"/>
      <c r="X369" s="341"/>
      <c r="Y369" s="341"/>
    </row>
    <row r="370" spans="1:25" s="253" customFormat="1" ht="18" customHeight="1">
      <c r="A370" s="444">
        <v>3</v>
      </c>
      <c r="B370" s="461" t="s">
        <v>1436</v>
      </c>
      <c r="C370" s="457"/>
      <c r="D370" s="457"/>
      <c r="E370" s="469">
        <v>600</v>
      </c>
      <c r="F370" s="457">
        <v>600</v>
      </c>
      <c r="G370" s="457"/>
      <c r="H370" s="463"/>
      <c r="I370" s="495"/>
      <c r="J370" s="496"/>
      <c r="K370" s="492"/>
      <c r="L370" s="493"/>
      <c r="M370" s="308">
        <f t="shared" ca="1" si="68"/>
        <v>1.30468145506997E-3</v>
      </c>
      <c r="N370" s="309"/>
      <c r="O370" s="309"/>
      <c r="P370" s="309"/>
      <c r="Q370" s="309"/>
      <c r="R370" s="345"/>
      <c r="S370" s="507"/>
      <c r="T370" s="364"/>
      <c r="U370" s="341"/>
      <c r="V370" s="341"/>
      <c r="W370" s="341"/>
      <c r="X370" s="341"/>
      <c r="Y370" s="341"/>
    </row>
    <row r="371" spans="1:25" s="253" customFormat="1" ht="18" customHeight="1">
      <c r="A371" s="444">
        <v>4</v>
      </c>
      <c r="B371" s="461" t="s">
        <v>1437</v>
      </c>
      <c r="C371" s="457"/>
      <c r="D371" s="457"/>
      <c r="E371" s="469">
        <v>700</v>
      </c>
      <c r="F371" s="457">
        <v>700</v>
      </c>
      <c r="G371" s="457"/>
      <c r="H371" s="463"/>
      <c r="I371" s="495"/>
      <c r="J371" s="496"/>
      <c r="K371" s="492"/>
      <c r="L371" s="493"/>
      <c r="M371" s="308">
        <f t="shared" ca="1" si="68"/>
        <v>1.5221283642482999E-3</v>
      </c>
      <c r="N371" s="309"/>
      <c r="O371" s="309"/>
      <c r="P371" s="309"/>
      <c r="Q371" s="309"/>
      <c r="R371" s="345"/>
      <c r="S371" s="507"/>
      <c r="T371" s="364"/>
      <c r="U371" s="341"/>
      <c r="V371" s="341"/>
      <c r="W371" s="341"/>
      <c r="X371" s="341"/>
      <c r="Y371" s="341"/>
    </row>
    <row r="372" spans="1:25" s="239" customFormat="1" ht="18" customHeight="1">
      <c r="A372" s="257" t="s">
        <v>1438</v>
      </c>
      <c r="B372" s="459" t="s">
        <v>1439</v>
      </c>
      <c r="C372" s="266"/>
      <c r="D372" s="266"/>
      <c r="E372" s="266"/>
      <c r="F372" s="266">
        <f ca="1">SUM(F364,F5,F325,F365)</f>
        <v>435855.11026621802</v>
      </c>
      <c r="G372" s="457"/>
      <c r="H372" s="463"/>
      <c r="I372" s="495"/>
      <c r="J372" s="496"/>
      <c r="K372" s="1183" t="s">
        <v>1440</v>
      </c>
      <c r="L372" s="1184"/>
      <c r="M372" s="308">
        <f t="shared" ca="1" si="68"/>
        <v>0.947753465769684</v>
      </c>
      <c r="N372" s="309"/>
      <c r="O372" s="309"/>
      <c r="P372" s="309"/>
      <c r="Q372" s="309"/>
      <c r="R372" s="345"/>
      <c r="S372" s="507"/>
      <c r="T372" s="364"/>
      <c r="U372" s="344"/>
      <c r="V372" s="344"/>
      <c r="W372" s="344"/>
      <c r="X372" s="344"/>
      <c r="Y372" s="344"/>
    </row>
    <row r="373" spans="1:25" s="239" customFormat="1" ht="18" customHeight="1">
      <c r="A373" s="458" t="s">
        <v>1441</v>
      </c>
      <c r="B373" s="459" t="s">
        <v>1442</v>
      </c>
      <c r="C373" s="470"/>
      <c r="D373" s="470"/>
      <c r="E373" s="470"/>
      <c r="F373" s="266">
        <f>F374+F375+F376</f>
        <v>22374</v>
      </c>
      <c r="G373" s="471"/>
      <c r="H373" s="472"/>
      <c r="I373" s="497"/>
      <c r="J373" s="498"/>
      <c r="K373" s="1185"/>
      <c r="L373" s="1185"/>
      <c r="M373" s="308">
        <f t="shared" ca="1" si="68"/>
        <v>4.8651571459559097E-2</v>
      </c>
      <c r="N373" s="309"/>
      <c r="O373" s="309"/>
      <c r="P373" s="309"/>
      <c r="Q373" s="309"/>
      <c r="R373" s="345"/>
      <c r="S373" s="507"/>
      <c r="T373" s="344"/>
      <c r="U373" s="344"/>
      <c r="V373" s="344"/>
      <c r="W373" s="344"/>
      <c r="X373" s="344"/>
      <c r="Y373" s="344"/>
    </row>
    <row r="374" spans="1:25" s="238" customFormat="1" ht="18" customHeight="1">
      <c r="A374" s="460">
        <v>1</v>
      </c>
      <c r="B374" s="461" t="s">
        <v>1443</v>
      </c>
      <c r="C374" s="473"/>
      <c r="D374" s="473"/>
      <c r="E374" s="473"/>
      <c r="F374" s="457">
        <v>20340</v>
      </c>
      <c r="G374" s="471"/>
      <c r="H374" s="474"/>
      <c r="I374" s="398"/>
      <c r="J374" s="399"/>
      <c r="K374" s="492"/>
      <c r="L374" s="493"/>
      <c r="M374" s="308">
        <f t="shared" ca="1" si="68"/>
        <v>4.42287013268719E-2</v>
      </c>
      <c r="N374" s="309"/>
      <c r="O374" s="309"/>
      <c r="P374" s="309"/>
      <c r="Q374" s="309"/>
      <c r="R374" s="345"/>
      <c r="S374" s="507"/>
      <c r="T374" s="341"/>
      <c r="U374" s="341"/>
      <c r="V374" s="341"/>
      <c r="W374" s="341"/>
      <c r="X374" s="341"/>
      <c r="Y374" s="341"/>
    </row>
    <row r="375" spans="1:25" s="238" customFormat="1" ht="18" customHeight="1">
      <c r="A375" s="460">
        <v>2</v>
      </c>
      <c r="B375" s="461" t="s">
        <v>1444</v>
      </c>
      <c r="C375" s="473"/>
      <c r="D375" s="473"/>
      <c r="E375" s="473"/>
      <c r="F375" s="457">
        <v>678</v>
      </c>
      <c r="G375" s="471"/>
      <c r="H375" s="474"/>
      <c r="I375" s="398"/>
      <c r="J375" s="399"/>
      <c r="K375" s="492"/>
      <c r="L375" s="493"/>
      <c r="M375" s="308">
        <f t="shared" ca="1" si="68"/>
        <v>1.4742900442290599E-3</v>
      </c>
      <c r="N375" s="309"/>
      <c r="O375" s="309"/>
      <c r="P375" s="309"/>
      <c r="Q375" s="309"/>
      <c r="R375" s="345"/>
      <c r="S375" s="507"/>
      <c r="T375" s="341"/>
      <c r="U375" s="341"/>
      <c r="V375" s="341"/>
      <c r="W375" s="341"/>
      <c r="X375" s="341"/>
      <c r="Y375" s="341"/>
    </row>
    <row r="376" spans="1:25" s="238" customFormat="1" ht="18" customHeight="1">
      <c r="A376" s="460">
        <v>3</v>
      </c>
      <c r="B376" s="461" t="s">
        <v>1445</v>
      </c>
      <c r="C376" s="473"/>
      <c r="D376" s="473"/>
      <c r="E376" s="473"/>
      <c r="F376" s="457">
        <v>1356</v>
      </c>
      <c r="G376" s="471"/>
      <c r="H376" s="474"/>
      <c r="I376" s="398"/>
      <c r="J376" s="399"/>
      <c r="K376" s="492"/>
      <c r="L376" s="493"/>
      <c r="M376" s="308">
        <f t="shared" ca="1" si="68"/>
        <v>2.9485800884581298E-3</v>
      </c>
      <c r="N376" s="309"/>
      <c r="O376" s="309"/>
      <c r="P376" s="309"/>
      <c r="Q376" s="309"/>
      <c r="R376" s="345"/>
      <c r="S376" s="507"/>
      <c r="T376" s="341"/>
      <c r="U376" s="341"/>
      <c r="V376" s="341"/>
      <c r="W376" s="341"/>
      <c r="X376" s="341"/>
      <c r="Y376" s="341"/>
    </row>
    <row r="377" spans="1:25" s="254" customFormat="1" ht="18" customHeight="1">
      <c r="A377" s="458" t="s">
        <v>1446</v>
      </c>
      <c r="B377" s="459" t="s">
        <v>1447</v>
      </c>
      <c r="C377" s="266"/>
      <c r="D377" s="266"/>
      <c r="E377" s="266"/>
      <c r="F377" s="266">
        <v>1653.26</v>
      </c>
      <c r="G377" s="266"/>
      <c r="H377" s="258"/>
      <c r="I377" s="310"/>
      <c r="J377" s="303"/>
      <c r="K377" s="1183"/>
      <c r="L377" s="1184"/>
      <c r="M377" s="308">
        <f t="shared" ca="1" si="68"/>
        <v>3.5949627706816302E-3</v>
      </c>
      <c r="N377" s="308"/>
      <c r="O377" s="308"/>
      <c r="P377" s="308"/>
      <c r="Q377" s="308"/>
      <c r="R377" s="512"/>
      <c r="S377" s="513"/>
      <c r="T377" s="514"/>
      <c r="U377" s="514"/>
      <c r="V377" s="514"/>
      <c r="W377" s="514"/>
      <c r="X377" s="514"/>
      <c r="Y377" s="514"/>
    </row>
    <row r="378" spans="1:25" s="239" customFormat="1" ht="18" customHeight="1">
      <c r="A378" s="458" t="s">
        <v>1448</v>
      </c>
      <c r="B378" s="459" t="s">
        <v>1449</v>
      </c>
      <c r="C378" s="266"/>
      <c r="D378" s="266"/>
      <c r="E378" s="266"/>
      <c r="F378" s="266">
        <f ca="1">F372+F373+F377</f>
        <v>459882.37026621797</v>
      </c>
      <c r="G378" s="467"/>
      <c r="H378" s="475"/>
      <c r="I378" s="310"/>
      <c r="J378" s="306"/>
      <c r="K378" s="1185" t="s">
        <v>1450</v>
      </c>
      <c r="L378" s="1185"/>
      <c r="M378" s="308">
        <f t="shared" ca="1" si="68"/>
        <v>1</v>
      </c>
      <c r="N378" s="309"/>
      <c r="O378" s="309"/>
      <c r="P378" s="309"/>
      <c r="Q378" s="309"/>
      <c r="R378" s="345"/>
      <c r="S378" s="507"/>
      <c r="T378" s="344"/>
      <c r="U378" s="344"/>
      <c r="V378" s="344"/>
      <c r="W378" s="344"/>
      <c r="X378" s="344"/>
      <c r="Y378" s="344"/>
    </row>
    <row r="379" spans="1:25" s="238" customFormat="1" ht="13.8">
      <c r="A379" s="476"/>
      <c r="B379" s="477"/>
      <c r="C379" s="478"/>
      <c r="D379" s="478"/>
      <c r="E379" s="479"/>
      <c r="F379" s="479"/>
      <c r="G379" s="480"/>
      <c r="H379" s="478"/>
      <c r="I379" s="455"/>
      <c r="J379" s="499"/>
      <c r="K379" s="499"/>
      <c r="L379" s="499"/>
      <c r="M379" s="308"/>
      <c r="N379" s="309"/>
      <c r="O379" s="309"/>
      <c r="P379" s="309"/>
      <c r="Q379" s="309"/>
      <c r="R379" s="345"/>
      <c r="S379" s="341"/>
      <c r="T379" s="341"/>
      <c r="U379" s="341"/>
      <c r="V379" s="341"/>
      <c r="W379" s="341"/>
      <c r="X379" s="341"/>
      <c r="Y379" s="341"/>
    </row>
    <row r="380" spans="1:25" s="238" customFormat="1" ht="13.8">
      <c r="A380" s="476"/>
      <c r="B380" s="477"/>
      <c r="C380" s="478"/>
      <c r="D380" s="478"/>
      <c r="E380" s="481"/>
      <c r="F380" s="481"/>
      <c r="G380" s="480"/>
      <c r="H380" s="482"/>
      <c r="I380" s="455"/>
      <c r="J380" s="499"/>
      <c r="K380" s="499"/>
      <c r="L380" s="499"/>
      <c r="M380" s="500"/>
      <c r="N380" s="500"/>
      <c r="O380" s="500"/>
      <c r="P380" s="500"/>
      <c r="Q380" s="500"/>
      <c r="R380" s="515"/>
      <c r="S380" s="341"/>
      <c r="T380" s="341"/>
      <c r="U380" s="341"/>
      <c r="V380" s="341"/>
      <c r="W380" s="341"/>
      <c r="X380" s="341"/>
      <c r="Y380" s="341"/>
    </row>
    <row r="381" spans="1:25" s="238" customFormat="1" ht="13.8">
      <c r="A381" s="476"/>
      <c r="B381" s="477"/>
      <c r="C381" s="478"/>
      <c r="D381" s="478"/>
      <c r="E381" s="478"/>
      <c r="F381" s="478"/>
      <c r="G381" s="480"/>
      <c r="H381" s="482"/>
      <c r="I381" s="455"/>
      <c r="J381" s="499"/>
      <c r="K381" s="499"/>
      <c r="L381" s="499"/>
      <c r="M381" s="500"/>
      <c r="N381" s="500"/>
      <c r="O381" s="500"/>
      <c r="P381" s="500"/>
      <c r="Q381" s="500"/>
      <c r="R381" s="515"/>
      <c r="S381" s="341"/>
      <c r="T381" s="341"/>
      <c r="U381" s="341"/>
      <c r="V381" s="341"/>
      <c r="W381" s="341"/>
      <c r="X381" s="341"/>
      <c r="Y381" s="341"/>
    </row>
    <row r="382" spans="1:25" s="238" customFormat="1" ht="13.8">
      <c r="A382" s="476"/>
      <c r="B382" s="477"/>
      <c r="C382" s="478"/>
      <c r="D382" s="343"/>
      <c r="E382" s="478"/>
      <c r="F382" s="343"/>
      <c r="G382" s="483"/>
      <c r="H382" s="478"/>
      <c r="I382" s="455"/>
      <c r="J382" s="499"/>
      <c r="K382" s="499"/>
      <c r="L382" s="499"/>
      <c r="M382" s="500"/>
      <c r="N382" s="500"/>
      <c r="O382" s="500"/>
      <c r="P382" s="500"/>
      <c r="Q382" s="500"/>
      <c r="R382" s="515"/>
      <c r="S382" s="341"/>
      <c r="T382" s="341"/>
      <c r="U382" s="341"/>
      <c r="V382" s="341"/>
      <c r="W382" s="341"/>
      <c r="X382" s="341"/>
      <c r="Y382" s="341"/>
    </row>
    <row r="383" spans="1:25" s="238" customFormat="1" ht="13.8">
      <c r="A383" s="476"/>
      <c r="B383" s="477"/>
      <c r="C383" s="478"/>
      <c r="D383" s="478"/>
      <c r="E383" s="478"/>
      <c r="F383" s="478"/>
      <c r="G383" s="484"/>
      <c r="H383" s="478"/>
      <c r="I383" s="455"/>
      <c r="J383" s="499"/>
      <c r="K383" s="499"/>
      <c r="L383" s="499"/>
      <c r="M383" s="500"/>
      <c r="N383" s="500"/>
      <c r="O383" s="500"/>
      <c r="P383" s="500"/>
      <c r="Q383" s="500"/>
      <c r="R383" s="515"/>
      <c r="S383" s="341"/>
      <c r="T383" s="341"/>
      <c r="U383" s="341"/>
      <c r="V383" s="341"/>
      <c r="W383" s="341"/>
      <c r="X383" s="341"/>
      <c r="Y383" s="341"/>
    </row>
    <row r="384" spans="1:25" s="238" customFormat="1" ht="37.799999999999997">
      <c r="A384" s="476"/>
      <c r="B384" s="485"/>
      <c r="C384" s="478"/>
      <c r="D384" s="486" t="s">
        <v>1451</v>
      </c>
      <c r="E384" s="487" t="s">
        <v>1452</v>
      </c>
      <c r="F384" s="487" t="s">
        <v>1453</v>
      </c>
      <c r="G384" s="487" t="s">
        <v>1454</v>
      </c>
      <c r="H384" s="478"/>
      <c r="I384" s="455"/>
      <c r="J384" s="499"/>
      <c r="K384" s="499"/>
      <c r="L384" s="499">
        <f ca="1">F378</f>
        <v>459882.37026621797</v>
      </c>
      <c r="M384" s="500"/>
      <c r="N384" s="500"/>
      <c r="O384" s="500"/>
      <c r="P384" s="500"/>
      <c r="Q384" s="500"/>
      <c r="R384" s="515"/>
      <c r="S384" s="341"/>
      <c r="T384" s="341"/>
      <c r="U384" s="341"/>
      <c r="V384" s="341"/>
      <c r="W384" s="341"/>
      <c r="X384" s="341"/>
      <c r="Y384" s="341"/>
    </row>
    <row r="385" spans="1:25" s="238" customFormat="1" ht="13.8">
      <c r="A385" s="476"/>
      <c r="B385" s="485"/>
      <c r="C385" s="343"/>
      <c r="D385" s="516" t="s">
        <v>1455</v>
      </c>
      <c r="E385" s="517" t="s">
        <v>1456</v>
      </c>
      <c r="F385" s="518">
        <f ca="1">F372</f>
        <v>435855.11026621802</v>
      </c>
      <c r="G385" s="519">
        <f ca="1">M372</f>
        <v>0.947753465769684</v>
      </c>
      <c r="H385" s="520"/>
      <c r="I385" s="526"/>
      <c r="J385" s="499"/>
      <c r="K385" s="499"/>
      <c r="L385" s="499">
        <v>547044.39765470498</v>
      </c>
      <c r="M385" s="500"/>
      <c r="N385" s="500"/>
      <c r="O385" s="500"/>
      <c r="P385" s="500"/>
      <c r="Q385" s="500"/>
      <c r="R385" s="515"/>
      <c r="S385" s="341"/>
      <c r="T385" s="341"/>
      <c r="U385" s="341"/>
      <c r="V385" s="341"/>
      <c r="W385" s="341"/>
      <c r="X385" s="341"/>
      <c r="Y385" s="341"/>
    </row>
    <row r="386" spans="1:25" s="238" customFormat="1" ht="13.8">
      <c r="A386" s="476"/>
      <c r="B386" s="521"/>
      <c r="C386" s="522"/>
      <c r="D386" s="516">
        <v>1</v>
      </c>
      <c r="E386" s="517" t="s">
        <v>1457</v>
      </c>
      <c r="F386" s="523">
        <f>F5</f>
        <v>330188.73191500001</v>
      </c>
      <c r="G386" s="519">
        <f ca="1">M5</f>
        <v>0.731929921993143</v>
      </c>
      <c r="H386" s="478"/>
      <c r="I386" s="455"/>
      <c r="J386" s="499"/>
      <c r="K386" s="499"/>
      <c r="L386" s="499">
        <f ca="1">L384-L385</f>
        <v>-87162.0273884872</v>
      </c>
      <c r="M386" s="500"/>
      <c r="N386" s="500"/>
      <c r="O386" s="500"/>
      <c r="P386" s="500"/>
      <c r="Q386" s="500"/>
      <c r="R386" s="515"/>
      <c r="S386" s="341"/>
      <c r="T386" s="341"/>
      <c r="U386" s="341"/>
      <c r="V386" s="341"/>
      <c r="W386" s="341"/>
      <c r="X386" s="341"/>
      <c r="Y386" s="341"/>
    </row>
    <row r="387" spans="1:25" s="238" customFormat="1" ht="15" customHeight="1">
      <c r="A387" s="476"/>
      <c r="B387" s="521"/>
      <c r="C387" s="522"/>
      <c r="D387" s="1189">
        <v>2</v>
      </c>
      <c r="E387" s="1189" t="s">
        <v>1458</v>
      </c>
      <c r="F387" s="1191">
        <f ca="1">F325</f>
        <v>25877.520725029899</v>
      </c>
      <c r="G387" s="1192">
        <f ca="1">M325</f>
        <v>5.6269868988558798E-2</v>
      </c>
      <c r="H387" s="478"/>
      <c r="I387" s="455"/>
      <c r="J387" s="499"/>
      <c r="K387" s="499"/>
      <c r="L387" s="499"/>
      <c r="M387" s="500"/>
      <c r="N387" s="500"/>
      <c r="O387" s="500"/>
      <c r="P387" s="500"/>
      <c r="Q387" s="500"/>
      <c r="R387" s="515"/>
      <c r="S387" s="341"/>
      <c r="T387" s="341"/>
      <c r="U387" s="341"/>
      <c r="V387" s="341"/>
      <c r="W387" s="341"/>
      <c r="X387" s="341"/>
      <c r="Y387" s="341"/>
    </row>
    <row r="388" spans="1:25" s="238" customFormat="1" ht="13.8">
      <c r="A388" s="476"/>
      <c r="B388" s="521"/>
      <c r="C388" s="522"/>
      <c r="D388" s="1190"/>
      <c r="E388" s="1190"/>
      <c r="F388" s="1190"/>
      <c r="G388" s="1190"/>
      <c r="H388" s="478"/>
      <c r="I388" s="455"/>
      <c r="J388" s="499"/>
      <c r="K388" s="499"/>
      <c r="L388" s="499"/>
      <c r="M388" s="500"/>
      <c r="N388" s="500"/>
      <c r="O388" s="500"/>
      <c r="P388" s="500"/>
      <c r="Q388" s="500"/>
      <c r="R388" s="515"/>
      <c r="S388" s="341"/>
      <c r="T388" s="341"/>
      <c r="U388" s="341"/>
      <c r="V388" s="341"/>
      <c r="W388" s="341"/>
      <c r="X388" s="341"/>
      <c r="Y388" s="341"/>
    </row>
    <row r="389" spans="1:25" s="238" customFormat="1" ht="13.8">
      <c r="A389" s="476"/>
      <c r="B389" s="521"/>
      <c r="C389" s="522"/>
      <c r="D389" s="516">
        <v>3</v>
      </c>
      <c r="E389" s="517" t="s">
        <v>1459</v>
      </c>
      <c r="F389" s="518">
        <f ca="1">F364</f>
        <v>18123.959406001501</v>
      </c>
      <c r="G389" s="519">
        <f ca="1">M364</f>
        <v>3.9409989549085103E-2</v>
      </c>
      <c r="H389" s="524"/>
      <c r="I389" s="455"/>
      <c r="J389" s="499"/>
      <c r="K389" s="499"/>
      <c r="L389" s="499"/>
      <c r="M389" s="500"/>
      <c r="N389" s="500"/>
      <c r="O389" s="500"/>
      <c r="P389" s="500"/>
      <c r="Q389" s="500"/>
      <c r="R389" s="515"/>
      <c r="S389" s="341"/>
      <c r="T389" s="341"/>
      <c r="U389" s="341"/>
      <c r="V389" s="341"/>
      <c r="W389" s="341"/>
      <c r="X389" s="341"/>
      <c r="Y389" s="341"/>
    </row>
    <row r="390" spans="1:25" s="238" customFormat="1" ht="13.8">
      <c r="A390" s="476"/>
      <c r="B390" s="521"/>
      <c r="C390" s="522"/>
      <c r="D390" s="516">
        <v>4</v>
      </c>
      <c r="E390" s="517" t="s">
        <v>1460</v>
      </c>
      <c r="F390" s="518">
        <f>F365</f>
        <v>55251.962740186304</v>
      </c>
      <c r="G390" s="519">
        <f ca="1">M365</f>
        <v>0.120143685238897</v>
      </c>
      <c r="H390" s="524"/>
      <c r="I390" s="455"/>
      <c r="J390" s="499"/>
      <c r="K390" s="499"/>
      <c r="L390" s="499"/>
      <c r="M390" s="500"/>
      <c r="N390" s="500"/>
      <c r="O390" s="500"/>
      <c r="P390" s="500"/>
      <c r="Q390" s="500"/>
      <c r="R390" s="515"/>
      <c r="S390" s="341"/>
      <c r="T390" s="341"/>
      <c r="U390" s="341"/>
      <c r="V390" s="341"/>
      <c r="W390" s="341"/>
      <c r="X390" s="341"/>
      <c r="Y390" s="341"/>
    </row>
    <row r="391" spans="1:25" s="238" customFormat="1" ht="13.8">
      <c r="A391" s="476"/>
      <c r="B391" s="521"/>
      <c r="C391" s="522"/>
      <c r="D391" s="516" t="s">
        <v>1461</v>
      </c>
      <c r="E391" s="525" t="str">
        <f>B373</f>
        <v>建设期利息及贷款费用</v>
      </c>
      <c r="F391" s="518">
        <f>F373</f>
        <v>22374</v>
      </c>
      <c r="G391" s="519">
        <f ca="1">M373</f>
        <v>4.8651571459559097E-2</v>
      </c>
      <c r="H391" s="524"/>
      <c r="I391" s="455"/>
      <c r="J391" s="499"/>
      <c r="K391" s="527"/>
      <c r="L391" s="499"/>
      <c r="M391" s="500"/>
      <c r="N391" s="500"/>
      <c r="O391" s="500"/>
      <c r="P391" s="500"/>
      <c r="Q391" s="500"/>
      <c r="R391" s="515"/>
      <c r="S391" s="341"/>
      <c r="T391" s="341"/>
      <c r="U391" s="341"/>
      <c r="V391" s="341"/>
      <c r="W391" s="341"/>
      <c r="X391" s="341"/>
      <c r="Y391" s="341"/>
    </row>
    <row r="392" spans="1:25" s="238" customFormat="1" ht="13.8">
      <c r="A392" s="476"/>
      <c r="B392" s="477"/>
      <c r="C392" s="478"/>
      <c r="D392" s="516" t="s">
        <v>1462</v>
      </c>
      <c r="E392" s="517" t="s">
        <v>1463</v>
      </c>
      <c r="F392" s="518">
        <f>F377</f>
        <v>1653.26</v>
      </c>
      <c r="G392" s="519">
        <f ca="1">M377</f>
        <v>3.5949627706816302E-3</v>
      </c>
      <c r="H392" s="524"/>
      <c r="I392" s="455"/>
      <c r="J392" s="499"/>
      <c r="K392" s="527"/>
      <c r="L392" s="499"/>
      <c r="M392" s="500"/>
      <c r="N392" s="500"/>
      <c r="O392" s="500"/>
      <c r="P392" s="500"/>
      <c r="Q392" s="500"/>
      <c r="R392" s="515"/>
      <c r="S392" s="341"/>
      <c r="T392" s="341"/>
      <c r="U392" s="341"/>
      <c r="V392" s="341"/>
      <c r="W392" s="341"/>
      <c r="X392" s="341"/>
      <c r="Y392" s="341"/>
    </row>
    <row r="393" spans="1:25" s="238" customFormat="1" ht="13.8">
      <c r="A393" s="476"/>
      <c r="B393" s="477"/>
      <c r="C393" s="478"/>
      <c r="D393" s="516" t="s">
        <v>1464</v>
      </c>
      <c r="E393" s="517" t="s">
        <v>1465</v>
      </c>
      <c r="F393" s="518">
        <f ca="1">F378</f>
        <v>459882.37026621797</v>
      </c>
      <c r="G393" s="519">
        <f ca="1">M378</f>
        <v>1</v>
      </c>
      <c r="H393" s="524"/>
      <c r="I393" s="455"/>
      <c r="J393" s="499"/>
      <c r="K393" s="527"/>
      <c r="L393" s="527">
        <v>73682.789503577005</v>
      </c>
      <c r="M393" s="500"/>
      <c r="N393" s="500"/>
      <c r="O393" s="500"/>
      <c r="P393" s="500"/>
      <c r="Q393" s="500"/>
      <c r="R393" s="515"/>
      <c r="S393" s="341"/>
      <c r="T393" s="341"/>
      <c r="U393" s="341"/>
      <c r="V393" s="341"/>
      <c r="W393" s="341"/>
      <c r="X393" s="341"/>
      <c r="Y393" s="341"/>
    </row>
    <row r="394" spans="1:25" s="238" customFormat="1" ht="13.8">
      <c r="A394" s="476"/>
      <c r="B394" s="477"/>
      <c r="C394" s="478"/>
      <c r="D394" s="478"/>
      <c r="E394" s="478"/>
      <c r="F394" s="478"/>
      <c r="G394" s="480"/>
      <c r="H394" s="524"/>
      <c r="I394" s="455"/>
      <c r="J394" s="499"/>
      <c r="K394" s="527"/>
      <c r="L394" s="527">
        <v>486.92325275766001</v>
      </c>
      <c r="M394" s="500"/>
      <c r="N394" s="500"/>
      <c r="O394" s="500"/>
      <c r="P394" s="500"/>
      <c r="Q394" s="500"/>
      <c r="R394" s="515"/>
      <c r="S394" s="341"/>
      <c r="T394" s="341"/>
      <c r="U394" s="341"/>
      <c r="V394" s="341"/>
      <c r="W394" s="341"/>
      <c r="X394" s="341"/>
      <c r="Y394" s="341"/>
    </row>
    <row r="395" spans="1:25" s="238" customFormat="1" ht="13.8">
      <c r="A395" s="476"/>
      <c r="B395" s="477"/>
      <c r="C395" s="478"/>
      <c r="D395" s="478"/>
      <c r="E395" s="478"/>
      <c r="F395" s="478"/>
      <c r="G395" s="480"/>
      <c r="H395" s="478"/>
      <c r="I395" s="455"/>
      <c r="J395" s="499"/>
      <c r="K395" s="527"/>
      <c r="L395" s="528">
        <f>L396+L397+L398</f>
        <v>0</v>
      </c>
      <c r="M395" s="500"/>
      <c r="N395" s="500"/>
      <c r="O395" s="500"/>
      <c r="P395" s="500"/>
      <c r="Q395" s="500"/>
      <c r="R395" s="515"/>
      <c r="S395" s="341"/>
      <c r="T395" s="341"/>
      <c r="U395" s="341"/>
      <c r="V395" s="341"/>
      <c r="W395" s="341"/>
      <c r="X395" s="341"/>
      <c r="Y395" s="341"/>
    </row>
    <row r="396" spans="1:25" s="238" customFormat="1" ht="13.8">
      <c r="A396" s="476"/>
      <c r="B396" s="477"/>
      <c r="C396" s="478"/>
      <c r="D396" s="478"/>
      <c r="E396" s="478"/>
      <c r="F396" s="478"/>
      <c r="G396" s="480"/>
      <c r="H396" s="478"/>
      <c r="I396" s="455"/>
      <c r="J396" s="499"/>
      <c r="K396" s="527"/>
      <c r="L396" s="499"/>
      <c r="M396" s="500"/>
      <c r="N396" s="500"/>
      <c r="O396" s="500"/>
      <c r="P396" s="500"/>
      <c r="Q396" s="500"/>
      <c r="R396" s="515"/>
      <c r="S396" s="341"/>
      <c r="T396" s="341"/>
      <c r="U396" s="341"/>
      <c r="V396" s="341"/>
      <c r="W396" s="341"/>
      <c r="X396" s="341"/>
      <c r="Y396" s="341"/>
    </row>
    <row r="397" spans="1:25" s="238" customFormat="1" ht="13.8">
      <c r="A397" s="476"/>
      <c r="B397" s="477"/>
      <c r="C397" s="478"/>
      <c r="D397" s="478"/>
      <c r="E397" s="478"/>
      <c r="F397" s="478"/>
      <c r="G397" s="480"/>
      <c r="H397" s="478"/>
      <c r="I397" s="455"/>
      <c r="J397" s="499"/>
      <c r="K397" s="527"/>
      <c r="L397" s="499"/>
      <c r="M397" s="500"/>
      <c r="N397" s="500"/>
      <c r="O397" s="500"/>
      <c r="P397" s="500"/>
      <c r="Q397" s="500"/>
      <c r="R397" s="515"/>
      <c r="S397" s="341"/>
      <c r="T397" s="341"/>
      <c r="U397" s="341"/>
      <c r="V397" s="341"/>
      <c r="W397" s="341"/>
      <c r="X397" s="341"/>
      <c r="Y397" s="341"/>
    </row>
    <row r="398" spans="1:25" s="238" customFormat="1" ht="13.8">
      <c r="A398" s="476"/>
      <c r="B398" s="477"/>
      <c r="C398" s="478"/>
      <c r="D398" s="478">
        <v>62.84</v>
      </c>
      <c r="E398" s="478"/>
      <c r="F398" s="478"/>
      <c r="G398" s="480"/>
      <c r="H398" s="478"/>
      <c r="I398" s="455"/>
      <c r="J398" s="499"/>
      <c r="K398" s="527"/>
      <c r="L398" s="499"/>
      <c r="M398" s="500"/>
      <c r="N398" s="500"/>
      <c r="O398" s="500"/>
      <c r="P398" s="500"/>
      <c r="Q398" s="500"/>
      <c r="R398" s="515"/>
      <c r="S398" s="341"/>
      <c r="T398" s="341"/>
      <c r="U398" s="341"/>
      <c r="V398" s="341"/>
      <c r="W398" s="341"/>
      <c r="X398" s="341"/>
      <c r="Y398" s="341"/>
    </row>
    <row r="399" spans="1:25" s="238" customFormat="1" ht="13.8">
      <c r="A399" s="476"/>
      <c r="B399" s="477"/>
      <c r="C399" s="478"/>
      <c r="D399" s="478"/>
      <c r="E399" s="478"/>
      <c r="F399" s="478"/>
      <c r="G399" s="480"/>
      <c r="H399" s="478"/>
      <c r="I399" s="455"/>
      <c r="J399" s="499"/>
      <c r="K399" s="527"/>
      <c r="L399" s="499"/>
      <c r="M399" s="500"/>
      <c r="N399" s="500"/>
      <c r="O399" s="500"/>
      <c r="P399" s="500"/>
      <c r="Q399" s="500"/>
      <c r="R399" s="515"/>
      <c r="S399" s="341"/>
      <c r="T399" s="341"/>
      <c r="U399" s="341"/>
      <c r="V399" s="341"/>
      <c r="W399" s="341"/>
      <c r="X399" s="341"/>
      <c r="Y399" s="341"/>
    </row>
    <row r="400" spans="1:25" s="238" customFormat="1" ht="13.8">
      <c r="A400" s="476"/>
      <c r="B400" s="477"/>
      <c r="C400" s="478"/>
      <c r="D400" s="478"/>
      <c r="E400" s="478"/>
      <c r="F400" s="478"/>
      <c r="G400" s="480"/>
      <c r="H400" s="478"/>
      <c r="I400" s="455"/>
      <c r="J400" s="499"/>
      <c r="K400" s="527"/>
      <c r="L400" s="499"/>
      <c r="M400" s="500"/>
      <c r="N400" s="500"/>
      <c r="O400" s="500"/>
      <c r="P400" s="500"/>
      <c r="Q400" s="500"/>
      <c r="R400" s="515"/>
      <c r="S400" s="341"/>
      <c r="T400" s="341"/>
      <c r="U400" s="341"/>
      <c r="V400" s="341"/>
      <c r="W400" s="341"/>
      <c r="X400" s="341"/>
      <c r="Y400" s="341"/>
    </row>
    <row r="401" spans="1:25" s="238" customFormat="1" ht="13.8">
      <c r="A401" s="476"/>
      <c r="B401" s="477"/>
      <c r="C401" s="478"/>
      <c r="D401" s="478"/>
      <c r="E401" s="478"/>
      <c r="F401" s="478"/>
      <c r="G401" s="480"/>
      <c r="H401" s="478"/>
      <c r="I401" s="455"/>
      <c r="J401" s="499"/>
      <c r="K401" s="527"/>
      <c r="L401" s="499"/>
      <c r="M401" s="500"/>
      <c r="N401" s="500"/>
      <c r="O401" s="500"/>
      <c r="P401" s="500"/>
      <c r="Q401" s="500"/>
      <c r="R401" s="515"/>
      <c r="S401" s="341"/>
      <c r="T401" s="341"/>
      <c r="U401" s="341"/>
      <c r="V401" s="341"/>
      <c r="W401" s="341"/>
      <c r="X401" s="341"/>
      <c r="Y401" s="341"/>
    </row>
    <row r="402" spans="1:25" s="238" customFormat="1" ht="13.8">
      <c r="A402" s="476"/>
      <c r="B402" s="477"/>
      <c r="C402" s="480">
        <v>698435.17222177796</v>
      </c>
      <c r="D402" s="478">
        <f ca="1">C402-F378</f>
        <v>238552.80195555999</v>
      </c>
      <c r="E402" s="478"/>
      <c r="F402" s="478"/>
      <c r="G402" s="480"/>
      <c r="H402" s="478"/>
      <c r="I402" s="455"/>
      <c r="J402" s="499"/>
      <c r="K402" s="527"/>
      <c r="L402" s="499"/>
      <c r="M402" s="500"/>
      <c r="N402" s="500"/>
      <c r="O402" s="500"/>
      <c r="P402" s="500"/>
      <c r="Q402" s="500"/>
      <c r="R402" s="515"/>
      <c r="S402" s="341"/>
      <c r="T402" s="341"/>
      <c r="U402" s="341"/>
      <c r="V402" s="341"/>
      <c r="W402" s="341"/>
      <c r="X402" s="341"/>
      <c r="Y402" s="341"/>
    </row>
    <row r="403" spans="1:25" s="238" customFormat="1" ht="13.8">
      <c r="A403" s="476"/>
      <c r="B403" s="477"/>
      <c r="C403" s="478"/>
      <c r="D403" s="478"/>
      <c r="E403" s="478"/>
      <c r="F403" s="478"/>
      <c r="G403" s="480"/>
      <c r="H403" s="478"/>
      <c r="I403" s="455"/>
      <c r="J403" s="499"/>
      <c r="K403" s="527"/>
      <c r="L403" s="499"/>
      <c r="M403" s="500"/>
      <c r="N403" s="500"/>
      <c r="O403" s="500"/>
      <c r="P403" s="500"/>
      <c r="Q403" s="500"/>
      <c r="R403" s="515"/>
      <c r="S403" s="341"/>
      <c r="T403" s="341"/>
      <c r="U403" s="341"/>
      <c r="V403" s="341"/>
      <c r="W403" s="341"/>
      <c r="X403" s="341"/>
      <c r="Y403" s="341"/>
    </row>
  </sheetData>
  <mergeCells count="44">
    <mergeCell ref="D387:D388"/>
    <mergeCell ref="E387:E388"/>
    <mergeCell ref="F387:F388"/>
    <mergeCell ref="G387:G388"/>
    <mergeCell ref="M3:M4"/>
    <mergeCell ref="K3:L4"/>
    <mergeCell ref="K364:L364"/>
    <mergeCell ref="K372:L372"/>
    <mergeCell ref="K373:L373"/>
    <mergeCell ref="K377:L377"/>
    <mergeCell ref="K378:L378"/>
    <mergeCell ref="K347:L347"/>
    <mergeCell ref="K348:L348"/>
    <mergeCell ref="K349:L349"/>
    <mergeCell ref="K350:L350"/>
    <mergeCell ref="K356:L356"/>
    <mergeCell ref="K341:L341"/>
    <mergeCell ref="K343:L343"/>
    <mergeCell ref="K344:L344"/>
    <mergeCell ref="K345:L345"/>
    <mergeCell ref="K346:L346"/>
    <mergeCell ref="K335:L335"/>
    <mergeCell ref="K336:L336"/>
    <mergeCell ref="K337:L337"/>
    <mergeCell ref="K339:L339"/>
    <mergeCell ref="K340:L340"/>
    <mergeCell ref="K330:L330"/>
    <mergeCell ref="K331:L331"/>
    <mergeCell ref="K332:L332"/>
    <mergeCell ref="K333:L333"/>
    <mergeCell ref="K334:L334"/>
    <mergeCell ref="G5:J5"/>
    <mergeCell ref="K5:L5"/>
    <mergeCell ref="K209:L209"/>
    <mergeCell ref="K277:L277"/>
    <mergeCell ref="K329:L329"/>
    <mergeCell ref="B1:M1"/>
    <mergeCell ref="A2:M2"/>
    <mergeCell ref="C3:F3"/>
    <mergeCell ref="G3:J3"/>
    <mergeCell ref="G4:H4"/>
    <mergeCell ref="I4:J4"/>
    <mergeCell ref="A3:A4"/>
    <mergeCell ref="B3:B4"/>
  </mergeCells>
  <pageMargins left="0.69930555555555596" right="0.69930555555555596"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E25"/>
  <sheetViews>
    <sheetView topLeftCell="A16" workbookViewId="0">
      <selection sqref="A1:Q1"/>
    </sheetView>
  </sheetViews>
  <sheetFormatPr defaultColWidth="9" defaultRowHeight="14.4"/>
  <cols>
    <col min="2" max="2" width="51.44140625" customWidth="1"/>
    <col min="3" max="3" width="20.77734375" customWidth="1"/>
    <col min="4" max="4" width="13.88671875" customWidth="1"/>
    <col min="5" max="5" width="66.109375" customWidth="1"/>
  </cols>
  <sheetData>
    <row r="2" spans="1:5" ht="20.25" customHeight="1">
      <c r="A2" s="219" t="s">
        <v>1466</v>
      </c>
      <c r="B2" s="220"/>
      <c r="C2" s="220"/>
      <c r="D2" s="220"/>
      <c r="E2" s="220"/>
    </row>
    <row r="3" spans="1:5" ht="20.25" customHeight="1">
      <c r="A3" s="221"/>
      <c r="B3" s="222" t="s">
        <v>1467</v>
      </c>
      <c r="C3" s="222" t="s">
        <v>1468</v>
      </c>
      <c r="D3" s="222" t="s">
        <v>1469</v>
      </c>
      <c r="E3" s="222" t="s">
        <v>1470</v>
      </c>
    </row>
    <row r="4" spans="1:5" ht="20.25" customHeight="1">
      <c r="A4" s="222"/>
      <c r="B4" s="223" t="s">
        <v>1471</v>
      </c>
      <c r="C4" s="223">
        <f>[3]工艺设备!$H$62</f>
        <v>11507</v>
      </c>
      <c r="D4" s="223" t="s">
        <v>1472</v>
      </c>
      <c r="E4" s="221"/>
    </row>
    <row r="5" spans="1:5" ht="20.25" customHeight="1">
      <c r="A5" s="222">
        <v>1</v>
      </c>
      <c r="B5" s="224" t="s">
        <v>1473</v>
      </c>
      <c r="C5" s="222">
        <f>[3]工艺设备!$J$10</f>
        <v>7000</v>
      </c>
      <c r="D5" s="222" t="s">
        <v>1472</v>
      </c>
      <c r="E5" s="221" t="s">
        <v>1474</v>
      </c>
    </row>
    <row r="6" spans="1:5" ht="20.25" customHeight="1">
      <c r="A6" s="222">
        <v>2</v>
      </c>
      <c r="B6" s="225" t="s">
        <v>1475</v>
      </c>
      <c r="C6" s="222">
        <f>[3]工艺设备!$M$42</f>
        <v>1375.5</v>
      </c>
      <c r="D6" s="222" t="s">
        <v>1472</v>
      </c>
      <c r="E6" s="221" t="s">
        <v>1476</v>
      </c>
    </row>
    <row r="7" spans="1:5" ht="20.25" customHeight="1">
      <c r="A7" s="222">
        <v>3</v>
      </c>
      <c r="B7" s="226" t="s">
        <v>1477</v>
      </c>
      <c r="C7" s="222">
        <f>C4-C5-C6-C8</f>
        <v>2013</v>
      </c>
      <c r="D7" s="222" t="s">
        <v>1472</v>
      </c>
      <c r="E7" s="221" t="s">
        <v>1478</v>
      </c>
    </row>
    <row r="8" spans="1:5" ht="20.25" customHeight="1">
      <c r="A8" s="222">
        <v>4</v>
      </c>
      <c r="B8" s="227" t="s">
        <v>1479</v>
      </c>
      <c r="C8" s="222">
        <f>[3]工艺设备!$J$54</f>
        <v>1118.5</v>
      </c>
      <c r="D8" s="222" t="s">
        <v>1472</v>
      </c>
      <c r="E8" s="221" t="s">
        <v>1480</v>
      </c>
    </row>
    <row r="9" spans="1:5">
      <c r="A9" t="s">
        <v>1481</v>
      </c>
      <c r="D9" s="228"/>
    </row>
    <row r="10" spans="1:5">
      <c r="D10" s="228"/>
    </row>
    <row r="11" spans="1:5" ht="20.25" customHeight="1">
      <c r="A11" s="229" t="s">
        <v>1482</v>
      </c>
      <c r="B11" s="220"/>
      <c r="C11" s="220"/>
      <c r="D11" s="220"/>
      <c r="E11" s="220"/>
    </row>
    <row r="12" spans="1:5" ht="18" customHeight="1">
      <c r="A12" s="222"/>
      <c r="B12" s="222"/>
      <c r="C12" s="222" t="s">
        <v>1468</v>
      </c>
      <c r="D12" s="222" t="s">
        <v>1469</v>
      </c>
      <c r="E12" s="222" t="s">
        <v>1470</v>
      </c>
    </row>
    <row r="13" spans="1:5" ht="33" customHeight="1">
      <c r="A13" s="223">
        <v>1</v>
      </c>
      <c r="B13" s="223" t="s">
        <v>1483</v>
      </c>
      <c r="C13" s="223">
        <f>C14+C15+C16</f>
        <v>4507</v>
      </c>
      <c r="D13" s="223" t="s">
        <v>1472</v>
      </c>
      <c r="E13" s="230" t="s">
        <v>1484</v>
      </c>
    </row>
    <row r="14" spans="1:5" ht="18" customHeight="1">
      <c r="A14" s="222">
        <v>1.1000000000000001</v>
      </c>
      <c r="B14" s="225" t="s">
        <v>1475</v>
      </c>
      <c r="C14" s="222">
        <f>[3]工艺设备!$M$42</f>
        <v>1375.5</v>
      </c>
      <c r="D14" s="222" t="s">
        <v>1472</v>
      </c>
      <c r="E14" s="231"/>
    </row>
    <row r="15" spans="1:5" ht="18" customHeight="1">
      <c r="A15" s="222">
        <v>1.2</v>
      </c>
      <c r="B15" s="226" t="s">
        <v>1477</v>
      </c>
      <c r="C15" s="222">
        <f>C7</f>
        <v>2013</v>
      </c>
      <c r="D15" s="222" t="s">
        <v>1472</v>
      </c>
      <c r="E15" s="231"/>
    </row>
    <row r="16" spans="1:5" ht="18" customHeight="1">
      <c r="A16" s="222">
        <v>1.3</v>
      </c>
      <c r="B16" s="227" t="s">
        <v>1479</v>
      </c>
      <c r="C16" s="222">
        <f>[3]工艺设备!$J$54</f>
        <v>1118.5</v>
      </c>
      <c r="D16" s="222" t="s">
        <v>1472</v>
      </c>
      <c r="E16" s="231"/>
    </row>
    <row r="17" spans="1:5" ht="33" customHeight="1">
      <c r="A17" s="223">
        <v>2</v>
      </c>
      <c r="B17" s="223" t="s">
        <v>1485</v>
      </c>
      <c r="C17" s="223">
        <f>C18+C19+C20</f>
        <v>4507</v>
      </c>
      <c r="D17" s="223" t="s">
        <v>1472</v>
      </c>
      <c r="E17" s="230" t="s">
        <v>1486</v>
      </c>
    </row>
    <row r="18" spans="1:5" ht="18" customHeight="1">
      <c r="A18" s="222">
        <v>2.1</v>
      </c>
      <c r="B18" s="225" t="s">
        <v>1475</v>
      </c>
      <c r="C18" s="222">
        <f>[3]工艺设备!$M$42</f>
        <v>1375.5</v>
      </c>
      <c r="D18" s="222" t="s">
        <v>1472</v>
      </c>
      <c r="E18" s="231"/>
    </row>
    <row r="19" spans="1:5" ht="18" customHeight="1">
      <c r="A19" s="222">
        <v>2.2000000000000002</v>
      </c>
      <c r="B19" s="226" t="s">
        <v>1477</v>
      </c>
      <c r="C19" s="222">
        <f>C7</f>
        <v>2013</v>
      </c>
      <c r="D19" s="222" t="s">
        <v>1472</v>
      </c>
      <c r="E19" s="231"/>
    </row>
    <row r="20" spans="1:5" ht="18" customHeight="1">
      <c r="A20" s="222">
        <v>2.2999999999999998</v>
      </c>
      <c r="B20" s="227" t="s">
        <v>1479</v>
      </c>
      <c r="C20" s="222">
        <f>[3]工艺设备!$J$54</f>
        <v>1118.5</v>
      </c>
      <c r="D20" s="222" t="s">
        <v>1472</v>
      </c>
      <c r="E20" s="231"/>
    </row>
    <row r="21" spans="1:5" ht="18" customHeight="1">
      <c r="A21" s="223">
        <v>3</v>
      </c>
      <c r="B21" s="232" t="s">
        <v>1473</v>
      </c>
      <c r="C21" s="223">
        <f>[3]工艺设备!$J$10</f>
        <v>7000</v>
      </c>
      <c r="D21" s="223" t="s">
        <v>1472</v>
      </c>
      <c r="E21" s="231"/>
    </row>
    <row r="22" spans="1:5" ht="34.049999999999997" customHeight="1">
      <c r="A22" s="223">
        <v>4</v>
      </c>
      <c r="B22" s="233" t="s">
        <v>1487</v>
      </c>
      <c r="C22" s="233">
        <v>800</v>
      </c>
      <c r="D22" s="233" t="s">
        <v>1472</v>
      </c>
      <c r="E22" s="234" t="s">
        <v>1488</v>
      </c>
    </row>
    <row r="23" spans="1:5" ht="34.049999999999997" customHeight="1">
      <c r="A23" s="223"/>
      <c r="B23" s="233"/>
      <c r="C23" s="233"/>
      <c r="D23" s="233"/>
      <c r="E23" s="235" t="s">
        <v>1489</v>
      </c>
    </row>
    <row r="24" spans="1:5" ht="19.05" customHeight="1">
      <c r="A24" s="223">
        <v>5</v>
      </c>
      <c r="B24" s="236" t="s">
        <v>1490</v>
      </c>
      <c r="C24" s="223">
        <f>C25-C13-C17-C21-C22</f>
        <v>5186</v>
      </c>
      <c r="D24" s="223" t="s">
        <v>1472</v>
      </c>
      <c r="E24" s="231"/>
    </row>
    <row r="25" spans="1:5" ht="15.6">
      <c r="A25" s="223"/>
      <c r="B25" s="237" t="s">
        <v>841</v>
      </c>
      <c r="C25" s="237">
        <v>22000</v>
      </c>
      <c r="D25" s="237" t="s">
        <v>1472</v>
      </c>
      <c r="E25" s="231"/>
    </row>
  </sheetData>
  <pageMargins left="0.69930555555555596" right="0.69930555555555596"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S338"/>
  <sheetViews>
    <sheetView zoomScale="89" zoomScaleNormal="89" workbookViewId="0">
      <pane xSplit="2" ySplit="4" topLeftCell="C299" activePane="bottomRight" state="frozen"/>
      <selection pane="topRight"/>
      <selection pane="bottomLeft"/>
      <selection pane="bottomRight"/>
    </sheetView>
  </sheetViews>
  <sheetFormatPr defaultColWidth="9" defaultRowHeight="14.4"/>
  <cols>
    <col min="1" max="1" width="8.77734375" style="122"/>
    <col min="2" max="2" width="20.44140625" style="123" customWidth="1"/>
    <col min="3" max="3" width="8.77734375" style="124"/>
    <col min="4" max="4" width="10.44140625" style="124" customWidth="1"/>
    <col min="5" max="6" width="8.77734375" style="124"/>
    <col min="7" max="9" width="9" style="124" hidden="1" customWidth="1"/>
    <col min="10" max="11" width="8.77734375" style="124"/>
    <col min="12" max="12" width="27.5546875" style="124" customWidth="1"/>
    <col min="13" max="13" width="10.88671875" style="124" customWidth="1"/>
    <col min="14" max="14" width="8.77734375" style="125"/>
    <col min="15" max="15" width="8.77734375" style="124"/>
    <col min="16" max="16" width="8.77734375" style="122"/>
    <col min="17" max="17" width="13.88671875" style="122" customWidth="1"/>
    <col min="18" max="18" width="8.77734375" style="122"/>
    <col min="19" max="19" width="8.77734375" style="28"/>
  </cols>
  <sheetData>
    <row r="2" spans="1:18">
      <c r="A2" s="1194" t="s">
        <v>1491</v>
      </c>
      <c r="B2" s="1194"/>
      <c r="C2" s="1194"/>
      <c r="D2" s="1194"/>
      <c r="E2" s="1194"/>
      <c r="F2" s="1194"/>
      <c r="G2" s="1194"/>
      <c r="H2" s="1194"/>
      <c r="I2" s="1194"/>
      <c r="J2" s="1194"/>
      <c r="K2" s="1194"/>
    </row>
    <row r="3" spans="1:18">
      <c r="A3" s="1204" t="s">
        <v>1492</v>
      </c>
      <c r="B3" s="1206" t="s">
        <v>1493</v>
      </c>
      <c r="C3" s="1195" t="s">
        <v>1494</v>
      </c>
      <c r="D3" s="1196"/>
      <c r="E3" s="1196"/>
      <c r="F3" s="1197"/>
      <c r="G3" s="1198" t="s">
        <v>1495</v>
      </c>
      <c r="H3" s="1199"/>
      <c r="I3" s="1200"/>
      <c r="J3" s="1208" t="s">
        <v>1496</v>
      </c>
      <c r="K3" s="1208" t="s">
        <v>1497</v>
      </c>
      <c r="L3" s="144"/>
      <c r="M3" s="144"/>
      <c r="N3" s="145"/>
      <c r="O3" s="145"/>
      <c r="P3" s="1212" t="s">
        <v>815</v>
      </c>
      <c r="Q3" s="1214" t="s">
        <v>1498</v>
      </c>
      <c r="R3" s="1215" t="s">
        <v>1499</v>
      </c>
    </row>
    <row r="4" spans="1:18" ht="24.75" customHeight="1">
      <c r="A4" s="1205"/>
      <c r="B4" s="1207"/>
      <c r="C4" s="126" t="s">
        <v>1500</v>
      </c>
      <c r="D4" s="127" t="s">
        <v>1501</v>
      </c>
      <c r="E4" s="126" t="s">
        <v>1502</v>
      </c>
      <c r="F4" s="126" t="s">
        <v>1503</v>
      </c>
      <c r="G4" s="1195" t="s">
        <v>1504</v>
      </c>
      <c r="H4" s="1197"/>
      <c r="I4" s="126" t="s">
        <v>1505</v>
      </c>
      <c r="J4" s="1209"/>
      <c r="K4" s="1209"/>
      <c r="L4" s="144"/>
      <c r="M4" s="144"/>
      <c r="N4" s="145"/>
      <c r="O4" s="146" t="s">
        <v>1506</v>
      </c>
      <c r="P4" s="1213"/>
      <c r="Q4" s="1214"/>
      <c r="R4" s="1216"/>
    </row>
    <row r="5" spans="1:18" ht="14.55" customHeight="1">
      <c r="A5" s="128" t="s">
        <v>1507</v>
      </c>
      <c r="B5" s="129" t="s">
        <v>1508</v>
      </c>
      <c r="C5" s="130">
        <v>316144.55</v>
      </c>
      <c r="D5" s="130">
        <v>44671.88</v>
      </c>
      <c r="E5" s="130">
        <v>1456</v>
      </c>
      <c r="F5" s="130">
        <v>362272.43</v>
      </c>
      <c r="G5" s="1201"/>
      <c r="H5" s="1202"/>
      <c r="I5" s="1203"/>
      <c r="J5" s="148" t="s">
        <v>1509</v>
      </c>
      <c r="K5" s="149">
        <v>0.70589999999999997</v>
      </c>
      <c r="M5" s="150">
        <f>SUM(M6:M287)</f>
        <v>314176.65999999997</v>
      </c>
    </row>
    <row r="6" spans="1:18">
      <c r="A6" s="131">
        <v>1</v>
      </c>
      <c r="B6" s="132" t="s">
        <v>1510</v>
      </c>
      <c r="C6" s="133">
        <v>45278.13</v>
      </c>
      <c r="D6" s="133">
        <v>360</v>
      </c>
      <c r="E6" s="133">
        <v>0</v>
      </c>
      <c r="F6" s="133">
        <v>45638.13</v>
      </c>
      <c r="G6" s="133"/>
      <c r="H6" s="133"/>
      <c r="I6" s="133"/>
      <c r="J6" s="151"/>
      <c r="K6" s="152">
        <v>8.8900000000000007E-2</v>
      </c>
      <c r="O6" s="150">
        <f>M56+M18</f>
        <v>21367.72</v>
      </c>
    </row>
    <row r="7" spans="1:18">
      <c r="A7" s="134">
        <v>1.2</v>
      </c>
      <c r="B7" s="135" t="s">
        <v>1511</v>
      </c>
      <c r="C7" s="136">
        <v>10593.86</v>
      </c>
      <c r="D7" s="136">
        <v>90</v>
      </c>
      <c r="E7" s="136">
        <v>0</v>
      </c>
      <c r="F7" s="136">
        <v>10683.86</v>
      </c>
      <c r="G7" s="136">
        <v>19474</v>
      </c>
      <c r="H7" s="136" t="s">
        <v>1512</v>
      </c>
      <c r="I7" s="136">
        <v>0.54900000000000004</v>
      </c>
      <c r="J7" s="153"/>
      <c r="K7" s="154">
        <v>2.0799999999999999E-2</v>
      </c>
      <c r="L7" s="144"/>
      <c r="M7" s="144"/>
      <c r="N7" s="145" t="s">
        <v>1513</v>
      </c>
      <c r="O7" s="144"/>
      <c r="P7" s="155"/>
      <c r="Q7" s="155" t="s">
        <v>834</v>
      </c>
      <c r="R7" s="155" t="s">
        <v>1514</v>
      </c>
    </row>
    <row r="8" spans="1:18">
      <c r="A8" s="137" t="s">
        <v>162</v>
      </c>
      <c r="B8" s="138" t="s">
        <v>1515</v>
      </c>
      <c r="C8" s="139">
        <v>97.37</v>
      </c>
      <c r="D8" s="139"/>
      <c r="E8" s="139"/>
      <c r="F8" s="140">
        <v>97.37</v>
      </c>
      <c r="G8" s="139">
        <v>19474</v>
      </c>
      <c r="H8" s="139" t="s">
        <v>1512</v>
      </c>
      <c r="I8" s="139">
        <v>5.0000000000000001E-3</v>
      </c>
      <c r="J8" s="156"/>
      <c r="K8" s="149">
        <v>2.0000000000000001E-4</v>
      </c>
    </row>
    <row r="9" spans="1:18">
      <c r="A9" s="137" t="s">
        <v>164</v>
      </c>
      <c r="B9" s="138" t="s">
        <v>1516</v>
      </c>
      <c r="C9" s="139">
        <v>116.84</v>
      </c>
      <c r="D9" s="139"/>
      <c r="E9" s="139"/>
      <c r="F9" s="140">
        <v>116.84</v>
      </c>
      <c r="G9" s="139">
        <v>19474</v>
      </c>
      <c r="H9" s="139" t="s">
        <v>1512</v>
      </c>
      <c r="I9" s="139">
        <v>6.0000000000000001E-3</v>
      </c>
      <c r="J9" s="156"/>
      <c r="K9" s="149">
        <v>2.0000000000000001E-4</v>
      </c>
    </row>
    <row r="10" spans="1:18">
      <c r="A10" s="137" t="s">
        <v>166</v>
      </c>
      <c r="B10" s="138" t="s">
        <v>1517</v>
      </c>
      <c r="C10" s="139">
        <v>4868.5</v>
      </c>
      <c r="D10" s="139"/>
      <c r="E10" s="139"/>
      <c r="F10" s="140">
        <v>4868.5</v>
      </c>
      <c r="G10" s="139">
        <v>19474</v>
      </c>
      <c r="H10" s="139" t="s">
        <v>1512</v>
      </c>
      <c r="I10" s="139">
        <v>0.25</v>
      </c>
      <c r="J10" s="156"/>
      <c r="K10" s="149">
        <v>9.4999999999999998E-3</v>
      </c>
    </row>
    <row r="11" spans="1:18">
      <c r="A11" s="137" t="s">
        <v>168</v>
      </c>
      <c r="B11" s="138" t="s">
        <v>1518</v>
      </c>
      <c r="C11" s="139">
        <v>2921.1</v>
      </c>
      <c r="D11" s="139"/>
      <c r="E11" s="139"/>
      <c r="F11" s="140">
        <v>2921.1</v>
      </c>
      <c r="G11" s="139">
        <v>19474</v>
      </c>
      <c r="H11" s="139" t="s">
        <v>1512</v>
      </c>
      <c r="I11" s="139">
        <v>0.15</v>
      </c>
      <c r="J11" s="156"/>
      <c r="K11" s="149">
        <v>5.7000000000000002E-3</v>
      </c>
    </row>
    <row r="12" spans="1:18">
      <c r="A12" s="137" t="s">
        <v>170</v>
      </c>
      <c r="B12" s="138" t="s">
        <v>1519</v>
      </c>
      <c r="C12" s="139">
        <v>292.11</v>
      </c>
      <c r="D12" s="139"/>
      <c r="E12" s="139"/>
      <c r="F12" s="140">
        <v>292.11</v>
      </c>
      <c r="G12" s="139">
        <v>19474</v>
      </c>
      <c r="H12" s="139" t="s">
        <v>1512</v>
      </c>
      <c r="I12" s="139">
        <v>1.4999999999999999E-2</v>
      </c>
      <c r="J12" s="156"/>
      <c r="K12" s="149">
        <v>5.9999999999999995E-4</v>
      </c>
    </row>
    <row r="13" spans="1:18">
      <c r="A13" s="137" t="s">
        <v>172</v>
      </c>
      <c r="B13" s="138" t="s">
        <v>1520</v>
      </c>
      <c r="C13" s="139">
        <v>778.96</v>
      </c>
      <c r="D13" s="139"/>
      <c r="E13" s="139"/>
      <c r="F13" s="140">
        <v>778.96</v>
      </c>
      <c r="G13" s="139">
        <v>19474</v>
      </c>
      <c r="H13" s="139" t="s">
        <v>1512</v>
      </c>
      <c r="I13" s="139">
        <v>0.04</v>
      </c>
      <c r="J13" s="156"/>
      <c r="K13" s="149">
        <v>1.5E-3</v>
      </c>
    </row>
    <row r="14" spans="1:18">
      <c r="A14" s="137" t="s">
        <v>174</v>
      </c>
      <c r="B14" s="138" t="s">
        <v>1521</v>
      </c>
      <c r="C14" s="139">
        <v>1363.18</v>
      </c>
      <c r="D14" s="139"/>
      <c r="E14" s="139"/>
      <c r="F14" s="140">
        <v>1363.18</v>
      </c>
      <c r="G14" s="139">
        <v>19474</v>
      </c>
      <c r="H14" s="139" t="s">
        <v>1512</v>
      </c>
      <c r="I14" s="139">
        <v>7.0000000000000007E-2</v>
      </c>
      <c r="J14" s="156"/>
      <c r="K14" s="149">
        <v>2.7000000000000001E-3</v>
      </c>
    </row>
    <row r="15" spans="1:18">
      <c r="A15" s="137" t="s">
        <v>891</v>
      </c>
      <c r="B15" s="138" t="s">
        <v>1522</v>
      </c>
      <c r="C15" s="139"/>
      <c r="D15" s="139">
        <v>90</v>
      </c>
      <c r="E15" s="139"/>
      <c r="F15" s="140">
        <v>90</v>
      </c>
      <c r="G15" s="139">
        <v>2</v>
      </c>
      <c r="H15" s="139" t="s">
        <v>1523</v>
      </c>
      <c r="I15" s="139">
        <v>45</v>
      </c>
      <c r="J15" s="156"/>
      <c r="K15" s="149">
        <v>2.0000000000000001E-4</v>
      </c>
    </row>
    <row r="16" spans="1:18">
      <c r="A16" s="137" t="s">
        <v>893</v>
      </c>
      <c r="B16" s="138" t="s">
        <v>1524</v>
      </c>
      <c r="C16" s="139">
        <v>116.84</v>
      </c>
      <c r="D16" s="139"/>
      <c r="E16" s="139"/>
      <c r="F16" s="140">
        <v>116.84</v>
      </c>
      <c r="G16" s="139">
        <v>19474</v>
      </c>
      <c r="H16" s="139" t="s">
        <v>1512</v>
      </c>
      <c r="I16" s="139">
        <v>6.0000000000000001E-3</v>
      </c>
      <c r="J16" s="156"/>
      <c r="K16" s="149">
        <v>2.0000000000000001E-4</v>
      </c>
    </row>
    <row r="17" spans="1:18">
      <c r="A17" s="137" t="s">
        <v>896</v>
      </c>
      <c r="B17" s="138" t="s">
        <v>1525</v>
      </c>
      <c r="C17" s="139">
        <v>38.950000000000003</v>
      </c>
      <c r="D17" s="139"/>
      <c r="E17" s="139"/>
      <c r="F17" s="140">
        <v>38.950000000000003</v>
      </c>
      <c r="G17" s="139">
        <v>19474</v>
      </c>
      <c r="H17" s="139" t="s">
        <v>1512</v>
      </c>
      <c r="I17" s="139">
        <v>2E-3</v>
      </c>
      <c r="J17" s="156"/>
      <c r="K17" s="149">
        <v>1E-4</v>
      </c>
    </row>
    <row r="18" spans="1:18">
      <c r="A18" s="134">
        <v>1.3</v>
      </c>
      <c r="B18" s="135" t="s">
        <v>1526</v>
      </c>
      <c r="C18" s="136">
        <v>10593.86</v>
      </c>
      <c r="D18" s="136">
        <v>90</v>
      </c>
      <c r="E18" s="136">
        <v>0</v>
      </c>
      <c r="F18" s="136">
        <v>10683.86</v>
      </c>
      <c r="G18" s="136">
        <v>19474</v>
      </c>
      <c r="H18" s="136" t="s">
        <v>1512</v>
      </c>
      <c r="I18" s="136">
        <v>0.54900000000000004</v>
      </c>
      <c r="J18" s="157"/>
      <c r="K18" s="154">
        <v>2.0799999999999999E-2</v>
      </c>
      <c r="L18" s="144" t="s">
        <v>1527</v>
      </c>
      <c r="M18" s="144">
        <f>F7+F18</f>
        <v>21367.72</v>
      </c>
      <c r="N18" s="145" t="s">
        <v>1513</v>
      </c>
      <c r="O18" s="144" t="s">
        <v>1528</v>
      </c>
      <c r="P18" s="155"/>
      <c r="Q18" s="155" t="s">
        <v>834</v>
      </c>
      <c r="R18" s="155" t="s">
        <v>1514</v>
      </c>
    </row>
    <row r="19" spans="1:18">
      <c r="A19" s="137" t="s">
        <v>903</v>
      </c>
      <c r="B19" s="138" t="s">
        <v>1515</v>
      </c>
      <c r="C19" s="139">
        <v>97.37</v>
      </c>
      <c r="D19" s="139"/>
      <c r="E19" s="139"/>
      <c r="F19" s="140">
        <v>97.37</v>
      </c>
      <c r="G19" s="139">
        <v>19474</v>
      </c>
      <c r="H19" s="139" t="s">
        <v>1512</v>
      </c>
      <c r="I19" s="139">
        <v>5.0000000000000001E-3</v>
      </c>
      <c r="J19" s="156"/>
      <c r="K19" s="149">
        <v>2.0000000000000001E-4</v>
      </c>
    </row>
    <row r="20" spans="1:18">
      <c r="A20" s="137" t="s">
        <v>904</v>
      </c>
      <c r="B20" s="138" t="s">
        <v>1516</v>
      </c>
      <c r="C20" s="139">
        <v>116.84</v>
      </c>
      <c r="D20" s="139"/>
      <c r="E20" s="139"/>
      <c r="F20" s="140">
        <v>116.84</v>
      </c>
      <c r="G20" s="139">
        <v>19474</v>
      </c>
      <c r="H20" s="139" t="s">
        <v>1512</v>
      </c>
      <c r="I20" s="139">
        <v>6.0000000000000001E-3</v>
      </c>
      <c r="J20" s="156"/>
      <c r="K20" s="149">
        <v>2.0000000000000001E-4</v>
      </c>
    </row>
    <row r="21" spans="1:18">
      <c r="A21" s="137" t="s">
        <v>905</v>
      </c>
      <c r="B21" s="138" t="s">
        <v>1517</v>
      </c>
      <c r="C21" s="139">
        <v>4868.5</v>
      </c>
      <c r="D21" s="139"/>
      <c r="E21" s="139"/>
      <c r="F21" s="140">
        <v>4868.5</v>
      </c>
      <c r="G21" s="139">
        <v>19474</v>
      </c>
      <c r="H21" s="139" t="s">
        <v>1512</v>
      </c>
      <c r="I21" s="139">
        <v>0.25</v>
      </c>
      <c r="J21" s="156"/>
      <c r="K21" s="149">
        <v>9.4999999999999998E-3</v>
      </c>
    </row>
    <row r="22" spans="1:18">
      <c r="A22" s="137" t="s">
        <v>906</v>
      </c>
      <c r="B22" s="138" t="s">
        <v>1518</v>
      </c>
      <c r="C22" s="139">
        <v>2921.1</v>
      </c>
      <c r="D22" s="139"/>
      <c r="E22" s="139"/>
      <c r="F22" s="140">
        <v>2921.1</v>
      </c>
      <c r="G22" s="139">
        <v>19474</v>
      </c>
      <c r="H22" s="139" t="s">
        <v>1512</v>
      </c>
      <c r="I22" s="139">
        <v>0.15</v>
      </c>
      <c r="J22" s="156"/>
      <c r="K22" s="149">
        <v>5.7000000000000002E-3</v>
      </c>
    </row>
    <row r="23" spans="1:18">
      <c r="A23" s="137" t="s">
        <v>907</v>
      </c>
      <c r="B23" s="138" t="s">
        <v>1519</v>
      </c>
      <c r="C23" s="139">
        <v>292.11</v>
      </c>
      <c r="D23" s="139"/>
      <c r="E23" s="139"/>
      <c r="F23" s="140">
        <v>292.11</v>
      </c>
      <c r="G23" s="139">
        <v>19474</v>
      </c>
      <c r="H23" s="139" t="s">
        <v>1512</v>
      </c>
      <c r="I23" s="139">
        <v>1.4999999999999999E-2</v>
      </c>
      <c r="J23" s="156"/>
      <c r="K23" s="149">
        <v>5.9999999999999995E-4</v>
      </c>
    </row>
    <row r="24" spans="1:18">
      <c r="A24" s="137" t="s">
        <v>908</v>
      </c>
      <c r="B24" s="138" t="s">
        <v>1520</v>
      </c>
      <c r="C24" s="139">
        <v>778.96</v>
      </c>
      <c r="D24" s="139"/>
      <c r="E24" s="139"/>
      <c r="F24" s="140">
        <v>778.96</v>
      </c>
      <c r="G24" s="139">
        <v>19474</v>
      </c>
      <c r="H24" s="139" t="s">
        <v>1512</v>
      </c>
      <c r="I24" s="139">
        <v>0.04</v>
      </c>
      <c r="J24" s="156"/>
      <c r="K24" s="149">
        <v>1.5E-3</v>
      </c>
    </row>
    <row r="25" spans="1:18">
      <c r="A25" s="137" t="s">
        <v>909</v>
      </c>
      <c r="B25" s="138" t="s">
        <v>1521</v>
      </c>
      <c r="C25" s="139">
        <v>1363.18</v>
      </c>
      <c r="D25" s="139"/>
      <c r="E25" s="139"/>
      <c r="F25" s="140">
        <v>1363.18</v>
      </c>
      <c r="G25" s="139">
        <v>19474</v>
      </c>
      <c r="H25" s="139" t="s">
        <v>1512</v>
      </c>
      <c r="I25" s="139">
        <v>7.0000000000000007E-2</v>
      </c>
      <c r="J25" s="156"/>
      <c r="K25" s="149">
        <v>2.7000000000000001E-3</v>
      </c>
    </row>
    <row r="26" spans="1:18">
      <c r="A26" s="137" t="s">
        <v>910</v>
      </c>
      <c r="B26" s="138" t="s">
        <v>1522</v>
      </c>
      <c r="C26" s="139"/>
      <c r="D26" s="139">
        <v>90</v>
      </c>
      <c r="E26" s="139"/>
      <c r="F26" s="140">
        <v>90</v>
      </c>
      <c r="G26" s="139">
        <v>2</v>
      </c>
      <c r="H26" s="139" t="s">
        <v>1523</v>
      </c>
      <c r="I26" s="139">
        <v>45</v>
      </c>
      <c r="J26" s="156"/>
      <c r="K26" s="149">
        <v>2.0000000000000001E-4</v>
      </c>
    </row>
    <row r="27" spans="1:18">
      <c r="A27" s="137" t="s">
        <v>911</v>
      </c>
      <c r="B27" s="138" t="s">
        <v>1524</v>
      </c>
      <c r="C27" s="139">
        <v>116.84</v>
      </c>
      <c r="D27" s="139"/>
      <c r="E27" s="139"/>
      <c r="F27" s="140">
        <v>116.84</v>
      </c>
      <c r="G27" s="139">
        <v>19474</v>
      </c>
      <c r="H27" s="139" t="s">
        <v>1512</v>
      </c>
      <c r="I27" s="139">
        <v>6.0000000000000001E-3</v>
      </c>
      <c r="J27" s="156"/>
      <c r="K27" s="149">
        <v>2.0000000000000001E-4</v>
      </c>
    </row>
    <row r="28" spans="1:18">
      <c r="A28" s="137" t="s">
        <v>912</v>
      </c>
      <c r="B28" s="138" t="s">
        <v>1525</v>
      </c>
      <c r="C28" s="139">
        <v>38.950000000000003</v>
      </c>
      <c r="D28" s="139"/>
      <c r="E28" s="139"/>
      <c r="F28" s="140">
        <v>38.950000000000003</v>
      </c>
      <c r="G28" s="139">
        <v>19474</v>
      </c>
      <c r="H28" s="139" t="s">
        <v>1512</v>
      </c>
      <c r="I28" s="139">
        <v>2E-3</v>
      </c>
      <c r="J28" s="156"/>
      <c r="K28" s="149">
        <v>1E-4</v>
      </c>
    </row>
    <row r="29" spans="1:18">
      <c r="A29" s="134">
        <v>1.4</v>
      </c>
      <c r="B29" s="135" t="s">
        <v>1529</v>
      </c>
      <c r="C29" s="136">
        <v>22880.59</v>
      </c>
      <c r="D29" s="136">
        <v>180</v>
      </c>
      <c r="E29" s="136">
        <v>0</v>
      </c>
      <c r="F29" s="136">
        <v>23060.59</v>
      </c>
      <c r="G29" s="136">
        <v>45398</v>
      </c>
      <c r="H29" s="136" t="s">
        <v>1512</v>
      </c>
      <c r="I29" s="136">
        <v>0.50800000000000001</v>
      </c>
      <c r="J29" s="157"/>
      <c r="K29" s="154">
        <v>4.4900000000000002E-2</v>
      </c>
      <c r="L29" s="144"/>
      <c r="M29" s="144"/>
      <c r="N29" s="145"/>
      <c r="O29" s="144" t="s">
        <v>1530</v>
      </c>
      <c r="P29" s="155"/>
      <c r="Q29" s="155" t="s">
        <v>834</v>
      </c>
      <c r="R29" s="155" t="s">
        <v>1514</v>
      </c>
    </row>
    <row r="30" spans="1:18">
      <c r="A30" s="137" t="s">
        <v>916</v>
      </c>
      <c r="B30" s="138" t="s">
        <v>1515</v>
      </c>
      <c r="C30" s="139">
        <v>226.99</v>
      </c>
      <c r="D30" s="139"/>
      <c r="E30" s="139"/>
      <c r="F30" s="140">
        <v>226.99</v>
      </c>
      <c r="G30" s="139">
        <v>45398</v>
      </c>
      <c r="H30" s="139" t="s">
        <v>1512</v>
      </c>
      <c r="I30" s="139">
        <v>5.0000000000000001E-3</v>
      </c>
      <c r="J30" s="156"/>
      <c r="K30" s="149">
        <v>4.0000000000000002E-4</v>
      </c>
    </row>
    <row r="31" spans="1:18">
      <c r="A31" s="137" t="s">
        <v>917</v>
      </c>
      <c r="B31" s="138" t="s">
        <v>1516</v>
      </c>
      <c r="C31" s="139">
        <v>272.39</v>
      </c>
      <c r="D31" s="139"/>
      <c r="E31" s="139"/>
      <c r="F31" s="140">
        <v>272.39</v>
      </c>
      <c r="G31" s="139">
        <v>45398</v>
      </c>
      <c r="H31" s="139" t="s">
        <v>1512</v>
      </c>
      <c r="I31" s="139">
        <v>6.0000000000000001E-3</v>
      </c>
      <c r="J31" s="156"/>
      <c r="K31" s="149">
        <v>5.0000000000000001E-4</v>
      </c>
    </row>
    <row r="32" spans="1:18">
      <c r="A32" s="137" t="s">
        <v>918</v>
      </c>
      <c r="B32" s="138" t="s">
        <v>1517</v>
      </c>
      <c r="C32" s="139">
        <v>10441.540000000001</v>
      </c>
      <c r="D32" s="139"/>
      <c r="E32" s="139"/>
      <c r="F32" s="140">
        <v>10441.540000000001</v>
      </c>
      <c r="G32" s="139">
        <v>45398</v>
      </c>
      <c r="H32" s="139" t="s">
        <v>1512</v>
      </c>
      <c r="I32" s="139">
        <v>0.23</v>
      </c>
      <c r="J32" s="156"/>
      <c r="K32" s="149">
        <v>2.0299999999999999E-2</v>
      </c>
    </row>
    <row r="33" spans="1:11">
      <c r="A33" s="137" t="s">
        <v>919</v>
      </c>
      <c r="B33" s="138" t="s">
        <v>1518</v>
      </c>
      <c r="C33" s="139">
        <v>5901.74</v>
      </c>
      <c r="D33" s="139"/>
      <c r="E33" s="139"/>
      <c r="F33" s="140">
        <v>5901.74</v>
      </c>
      <c r="G33" s="139">
        <v>45398</v>
      </c>
      <c r="H33" s="139" t="s">
        <v>1512</v>
      </c>
      <c r="I33" s="139">
        <v>0.13</v>
      </c>
      <c r="J33" s="156"/>
      <c r="K33" s="149">
        <v>1.15E-2</v>
      </c>
    </row>
    <row r="34" spans="1:11">
      <c r="A34" s="137" t="s">
        <v>920</v>
      </c>
      <c r="B34" s="138" t="s">
        <v>1519</v>
      </c>
      <c r="C34" s="139">
        <v>680.97</v>
      </c>
      <c r="D34" s="139"/>
      <c r="E34" s="139"/>
      <c r="F34" s="140">
        <v>680.97</v>
      </c>
      <c r="G34" s="139">
        <v>45398</v>
      </c>
      <c r="H34" s="139" t="s">
        <v>1512</v>
      </c>
      <c r="I34" s="139">
        <v>1.4999999999999999E-2</v>
      </c>
      <c r="J34" s="156"/>
      <c r="K34" s="149">
        <v>1.2999999999999999E-3</v>
      </c>
    </row>
    <row r="35" spans="1:11">
      <c r="A35" s="137" t="s">
        <v>921</v>
      </c>
      <c r="B35" s="138" t="s">
        <v>1520</v>
      </c>
      <c r="C35" s="139">
        <v>1815.92</v>
      </c>
      <c r="D35" s="139"/>
      <c r="E35" s="139"/>
      <c r="F35" s="140">
        <v>1815.92</v>
      </c>
      <c r="G35" s="139">
        <v>45398</v>
      </c>
      <c r="H35" s="139" t="s">
        <v>1512</v>
      </c>
      <c r="I35" s="139">
        <v>0.04</v>
      </c>
      <c r="J35" s="156"/>
      <c r="K35" s="149">
        <v>3.5000000000000001E-3</v>
      </c>
    </row>
    <row r="36" spans="1:11">
      <c r="A36" s="137" t="s">
        <v>922</v>
      </c>
      <c r="B36" s="138" t="s">
        <v>1521</v>
      </c>
      <c r="C36" s="139">
        <v>3177.86</v>
      </c>
      <c r="D36" s="139"/>
      <c r="E36" s="139"/>
      <c r="F36" s="140">
        <v>3177.86</v>
      </c>
      <c r="G36" s="139">
        <v>45398</v>
      </c>
      <c r="H36" s="139" t="s">
        <v>1512</v>
      </c>
      <c r="I36" s="139">
        <v>7.0000000000000007E-2</v>
      </c>
      <c r="J36" s="156"/>
      <c r="K36" s="149">
        <v>6.1999999999999998E-3</v>
      </c>
    </row>
    <row r="37" spans="1:11">
      <c r="A37" s="137" t="s">
        <v>923</v>
      </c>
      <c r="B37" s="138" t="s">
        <v>1522</v>
      </c>
      <c r="C37" s="139"/>
      <c r="D37" s="139">
        <v>180</v>
      </c>
      <c r="E37" s="139"/>
      <c r="F37" s="140">
        <v>180</v>
      </c>
      <c r="G37" s="139">
        <v>4</v>
      </c>
      <c r="H37" s="139" t="s">
        <v>1523</v>
      </c>
      <c r="I37" s="139">
        <v>45</v>
      </c>
      <c r="J37" s="156"/>
      <c r="K37" s="149">
        <v>4.0000000000000002E-4</v>
      </c>
    </row>
    <row r="38" spans="1:11">
      <c r="A38" s="137" t="s">
        <v>924</v>
      </c>
      <c r="B38" s="138" t="s">
        <v>1524</v>
      </c>
      <c r="C38" s="139">
        <v>272.39</v>
      </c>
      <c r="D38" s="139"/>
      <c r="E38" s="139"/>
      <c r="F38" s="140">
        <v>272.39</v>
      </c>
      <c r="G38" s="139">
        <v>45398</v>
      </c>
      <c r="H38" s="139" t="s">
        <v>1512</v>
      </c>
      <c r="I38" s="139">
        <v>6.0000000000000001E-3</v>
      </c>
      <c r="J38" s="156"/>
      <c r="K38" s="149">
        <v>5.0000000000000001E-4</v>
      </c>
    </row>
    <row r="39" spans="1:11">
      <c r="A39" s="137" t="s">
        <v>925</v>
      </c>
      <c r="B39" s="138" t="s">
        <v>1525</v>
      </c>
      <c r="C39" s="139">
        <v>90.8</v>
      </c>
      <c r="D39" s="139"/>
      <c r="E39" s="139"/>
      <c r="F39" s="140">
        <v>90.8</v>
      </c>
      <c r="G39" s="139">
        <v>45398</v>
      </c>
      <c r="H39" s="139" t="s">
        <v>1512</v>
      </c>
      <c r="I39" s="139">
        <v>2E-3</v>
      </c>
      <c r="J39" s="156"/>
      <c r="K39" s="149">
        <v>2.0000000000000001E-4</v>
      </c>
    </row>
    <row r="40" spans="1:11">
      <c r="A40" s="134" t="s">
        <v>1531</v>
      </c>
      <c r="B40" s="141" t="s">
        <v>1532</v>
      </c>
      <c r="C40" s="136">
        <v>481.62</v>
      </c>
      <c r="D40" s="136"/>
      <c r="E40" s="136"/>
      <c r="F40" s="136">
        <v>481.62</v>
      </c>
      <c r="G40" s="136">
        <v>949</v>
      </c>
      <c r="H40" s="136" t="s">
        <v>1512</v>
      </c>
      <c r="I40" s="136">
        <v>0.50800000000000001</v>
      </c>
      <c r="J40" s="157"/>
      <c r="K40" s="154">
        <v>8.9999999999999998E-4</v>
      </c>
    </row>
    <row r="41" spans="1:11">
      <c r="A41" s="137" t="s">
        <v>1533</v>
      </c>
      <c r="B41" s="138" t="s">
        <v>1515</v>
      </c>
      <c r="C41" s="139">
        <v>3.32</v>
      </c>
      <c r="D41" s="139"/>
      <c r="E41" s="139"/>
      <c r="F41" s="140">
        <v>3.32</v>
      </c>
      <c r="G41" s="139">
        <v>949</v>
      </c>
      <c r="H41" s="139" t="s">
        <v>1512</v>
      </c>
      <c r="I41" s="139">
        <v>4.0000000000000001E-3</v>
      </c>
      <c r="J41" s="156"/>
      <c r="K41" s="149">
        <v>0</v>
      </c>
    </row>
    <row r="42" spans="1:11">
      <c r="A42" s="137" t="s">
        <v>1534</v>
      </c>
      <c r="B42" s="138" t="s">
        <v>1517</v>
      </c>
      <c r="C42" s="139">
        <v>455.52</v>
      </c>
      <c r="D42" s="139"/>
      <c r="E42" s="139"/>
      <c r="F42" s="140">
        <v>455.52</v>
      </c>
      <c r="G42" s="139">
        <v>949</v>
      </c>
      <c r="H42" s="139" t="s">
        <v>1512</v>
      </c>
      <c r="I42" s="139">
        <v>0.48</v>
      </c>
      <c r="J42" s="156"/>
      <c r="K42" s="149">
        <v>8.9999999999999998E-4</v>
      </c>
    </row>
    <row r="43" spans="1:11">
      <c r="A43" s="137" t="s">
        <v>1535</v>
      </c>
      <c r="B43" s="138" t="s">
        <v>1519</v>
      </c>
      <c r="C43" s="139">
        <v>2.85</v>
      </c>
      <c r="D43" s="139"/>
      <c r="E43" s="139"/>
      <c r="F43" s="140">
        <v>2.85</v>
      </c>
      <c r="G43" s="139">
        <v>949</v>
      </c>
      <c r="H43" s="139" t="s">
        <v>1512</v>
      </c>
      <c r="I43" s="139">
        <v>3.0000000000000001E-3</v>
      </c>
      <c r="J43" s="156"/>
      <c r="K43" s="149">
        <v>0</v>
      </c>
    </row>
    <row r="44" spans="1:11">
      <c r="A44" s="137" t="s">
        <v>1536</v>
      </c>
      <c r="B44" s="138" t="s">
        <v>1520</v>
      </c>
      <c r="C44" s="139">
        <v>3.8</v>
      </c>
      <c r="D44" s="139"/>
      <c r="E44" s="139"/>
      <c r="F44" s="140">
        <v>3.8</v>
      </c>
      <c r="G44" s="139">
        <v>949</v>
      </c>
      <c r="H44" s="139" t="s">
        <v>1512</v>
      </c>
      <c r="I44" s="139">
        <v>4.0000000000000001E-3</v>
      </c>
      <c r="J44" s="156"/>
      <c r="K44" s="149">
        <v>0</v>
      </c>
    </row>
    <row r="45" spans="1:11">
      <c r="A45" s="137" t="s">
        <v>1537</v>
      </c>
      <c r="B45" s="138" t="s">
        <v>1521</v>
      </c>
      <c r="C45" s="139">
        <v>8.5399999999999991</v>
      </c>
      <c r="D45" s="139"/>
      <c r="E45" s="139"/>
      <c r="F45" s="140">
        <v>8.5399999999999991</v>
      </c>
      <c r="G45" s="139">
        <v>949</v>
      </c>
      <c r="H45" s="139" t="s">
        <v>1512</v>
      </c>
      <c r="I45" s="139">
        <v>8.9999999999999993E-3</v>
      </c>
      <c r="J45" s="156"/>
      <c r="K45" s="149">
        <v>0</v>
      </c>
    </row>
    <row r="46" spans="1:11">
      <c r="A46" s="137" t="s">
        <v>1538</v>
      </c>
      <c r="B46" s="138" t="s">
        <v>1524</v>
      </c>
      <c r="C46" s="139">
        <v>5.69</v>
      </c>
      <c r="D46" s="139"/>
      <c r="E46" s="139"/>
      <c r="F46" s="140">
        <v>5.69</v>
      </c>
      <c r="G46" s="139">
        <v>949</v>
      </c>
      <c r="H46" s="139" t="s">
        <v>1512</v>
      </c>
      <c r="I46" s="139">
        <v>6.0000000000000001E-3</v>
      </c>
      <c r="J46" s="156"/>
      <c r="K46" s="149">
        <v>0</v>
      </c>
    </row>
    <row r="47" spans="1:11">
      <c r="A47" s="137" t="s">
        <v>1539</v>
      </c>
      <c r="B47" s="138" t="s">
        <v>1525</v>
      </c>
      <c r="C47" s="139">
        <v>1.9</v>
      </c>
      <c r="D47" s="139"/>
      <c r="E47" s="139"/>
      <c r="F47" s="140">
        <v>1.9</v>
      </c>
      <c r="G47" s="139">
        <v>949</v>
      </c>
      <c r="H47" s="139" t="s">
        <v>1512</v>
      </c>
      <c r="I47" s="139">
        <v>2E-3</v>
      </c>
      <c r="J47" s="156"/>
      <c r="K47" s="149">
        <v>0</v>
      </c>
    </row>
    <row r="48" spans="1:11">
      <c r="A48" s="134">
        <v>1.1200000000000001</v>
      </c>
      <c r="B48" s="141" t="s">
        <v>1540</v>
      </c>
      <c r="C48" s="136">
        <v>264.41000000000003</v>
      </c>
      <c r="D48" s="136"/>
      <c r="E48" s="136"/>
      <c r="F48" s="136">
        <v>264.41000000000003</v>
      </c>
      <c r="G48" s="136">
        <v>521</v>
      </c>
      <c r="H48" s="136" t="s">
        <v>1512</v>
      </c>
      <c r="I48" s="136">
        <v>0.50800000000000001</v>
      </c>
      <c r="J48" s="157"/>
      <c r="K48" s="154">
        <v>5.0000000000000001E-4</v>
      </c>
    </row>
    <row r="49" spans="1:15">
      <c r="A49" s="137" t="s">
        <v>1541</v>
      </c>
      <c r="B49" s="138" t="s">
        <v>1515</v>
      </c>
      <c r="C49" s="139">
        <v>1.82</v>
      </c>
      <c r="D49" s="139"/>
      <c r="E49" s="139"/>
      <c r="F49" s="140">
        <v>1.82</v>
      </c>
      <c r="G49" s="139">
        <v>521</v>
      </c>
      <c r="H49" s="139" t="s">
        <v>1512</v>
      </c>
      <c r="I49" s="139">
        <v>4.0000000000000001E-3</v>
      </c>
      <c r="J49" s="156"/>
      <c r="K49" s="149">
        <v>0</v>
      </c>
    </row>
    <row r="50" spans="1:15">
      <c r="A50" s="137" t="s">
        <v>1542</v>
      </c>
      <c r="B50" s="138" t="s">
        <v>1517</v>
      </c>
      <c r="C50" s="139">
        <v>250.08</v>
      </c>
      <c r="D50" s="139"/>
      <c r="E50" s="139"/>
      <c r="F50" s="140">
        <v>250.08</v>
      </c>
      <c r="G50" s="139">
        <v>521</v>
      </c>
      <c r="H50" s="139" t="s">
        <v>1512</v>
      </c>
      <c r="I50" s="139">
        <v>0.48</v>
      </c>
      <c r="J50" s="156"/>
      <c r="K50" s="149">
        <v>5.0000000000000001E-4</v>
      </c>
    </row>
    <row r="51" spans="1:15">
      <c r="A51" s="137" t="s">
        <v>1543</v>
      </c>
      <c r="B51" s="138" t="s">
        <v>1519</v>
      </c>
      <c r="C51" s="139">
        <v>1.56</v>
      </c>
      <c r="D51" s="139"/>
      <c r="E51" s="139"/>
      <c r="F51" s="140">
        <v>1.56</v>
      </c>
      <c r="G51" s="139">
        <v>521</v>
      </c>
      <c r="H51" s="139" t="s">
        <v>1512</v>
      </c>
      <c r="I51" s="139">
        <v>3.0000000000000001E-3</v>
      </c>
      <c r="J51" s="156"/>
      <c r="K51" s="149">
        <v>0</v>
      </c>
    </row>
    <row r="52" spans="1:15">
      <c r="A52" s="137" t="s">
        <v>1544</v>
      </c>
      <c r="B52" s="138" t="s">
        <v>1520</v>
      </c>
      <c r="C52" s="139">
        <v>2.08</v>
      </c>
      <c r="D52" s="139"/>
      <c r="E52" s="139"/>
      <c r="F52" s="140">
        <v>2.08</v>
      </c>
      <c r="G52" s="139">
        <v>521</v>
      </c>
      <c r="H52" s="139" t="s">
        <v>1512</v>
      </c>
      <c r="I52" s="139">
        <v>4.0000000000000001E-3</v>
      </c>
      <c r="J52" s="156"/>
      <c r="K52" s="149">
        <v>0</v>
      </c>
    </row>
    <row r="53" spans="1:15">
      <c r="A53" s="137" t="s">
        <v>1545</v>
      </c>
      <c r="B53" s="138" t="s">
        <v>1521</v>
      </c>
      <c r="C53" s="139">
        <v>4.6900000000000004</v>
      </c>
      <c r="D53" s="139"/>
      <c r="E53" s="139"/>
      <c r="F53" s="140">
        <v>4.6900000000000004</v>
      </c>
      <c r="G53" s="139">
        <v>521</v>
      </c>
      <c r="H53" s="139" t="s">
        <v>1512</v>
      </c>
      <c r="I53" s="139">
        <v>8.9999999999999993E-3</v>
      </c>
      <c r="J53" s="156"/>
      <c r="K53" s="149">
        <v>0</v>
      </c>
    </row>
    <row r="54" spans="1:15">
      <c r="A54" s="137" t="s">
        <v>1546</v>
      </c>
      <c r="B54" s="138" t="s">
        <v>1524</v>
      </c>
      <c r="C54" s="139">
        <v>3.13</v>
      </c>
      <c r="D54" s="139"/>
      <c r="E54" s="139"/>
      <c r="F54" s="140">
        <v>3.13</v>
      </c>
      <c r="G54" s="139">
        <v>521</v>
      </c>
      <c r="H54" s="139" t="s">
        <v>1512</v>
      </c>
      <c r="I54" s="139">
        <v>6.0000000000000001E-3</v>
      </c>
      <c r="J54" s="156"/>
      <c r="K54" s="149">
        <v>0</v>
      </c>
    </row>
    <row r="55" spans="1:15">
      <c r="A55" s="137" t="s">
        <v>1547</v>
      </c>
      <c r="B55" s="138" t="s">
        <v>1525</v>
      </c>
      <c r="C55" s="139">
        <v>1.04</v>
      </c>
      <c r="D55" s="139"/>
      <c r="E55" s="139"/>
      <c r="F55" s="140">
        <v>1.04</v>
      </c>
      <c r="G55" s="139">
        <v>521</v>
      </c>
      <c r="H55" s="139" t="s">
        <v>1512</v>
      </c>
      <c r="I55" s="139">
        <v>2E-3</v>
      </c>
      <c r="J55" s="156"/>
      <c r="K55" s="149">
        <v>0</v>
      </c>
    </row>
    <row r="56" spans="1:15">
      <c r="A56" s="134">
        <v>1.1399999999999999</v>
      </c>
      <c r="B56" s="135" t="s">
        <v>1548</v>
      </c>
      <c r="C56" s="136">
        <v>463.8</v>
      </c>
      <c r="D56" s="136"/>
      <c r="E56" s="136"/>
      <c r="F56" s="136">
        <v>463.8</v>
      </c>
      <c r="G56" s="136">
        <v>7730</v>
      </c>
      <c r="H56" s="136" t="s">
        <v>1549</v>
      </c>
      <c r="I56" s="136">
        <v>0.06</v>
      </c>
      <c r="J56" s="157"/>
      <c r="K56" s="154">
        <v>8.9999999999999998E-4</v>
      </c>
    </row>
    <row r="57" spans="1:15">
      <c r="A57" s="142">
        <v>2</v>
      </c>
      <c r="B57" s="143" t="s">
        <v>1550</v>
      </c>
      <c r="C57" s="133">
        <v>90687.6</v>
      </c>
      <c r="D57" s="133">
        <v>360</v>
      </c>
      <c r="E57" s="133">
        <v>0</v>
      </c>
      <c r="F57" s="133">
        <v>91047.6</v>
      </c>
      <c r="G57" s="133"/>
      <c r="H57" s="133"/>
      <c r="I57" s="133"/>
      <c r="J57" s="151"/>
      <c r="K57" s="152">
        <v>0.1774</v>
      </c>
      <c r="O57" s="150">
        <f>SUM(M57:M168)</f>
        <v>88325.12999999999</v>
      </c>
    </row>
    <row r="58" spans="1:15">
      <c r="A58" s="134">
        <v>2.1</v>
      </c>
      <c r="B58" s="135" t="s">
        <v>1551</v>
      </c>
      <c r="C58" s="136">
        <v>19377.150000000001</v>
      </c>
      <c r="D58" s="136">
        <v>180</v>
      </c>
      <c r="E58" s="136">
        <v>0</v>
      </c>
      <c r="F58" s="136">
        <v>19557.150000000001</v>
      </c>
      <c r="G58" s="136">
        <v>39225</v>
      </c>
      <c r="H58" s="136" t="s">
        <v>1512</v>
      </c>
      <c r="I58" s="136">
        <v>0.499</v>
      </c>
      <c r="J58" s="157"/>
      <c r="K58" s="154">
        <v>3.8100000000000002E-2</v>
      </c>
    </row>
    <row r="59" spans="1:15">
      <c r="A59" s="137" t="s">
        <v>950</v>
      </c>
      <c r="B59" s="138" t="s">
        <v>1515</v>
      </c>
      <c r="C59" s="139">
        <v>196.13</v>
      </c>
      <c r="D59" s="139"/>
      <c r="E59" s="139"/>
      <c r="F59" s="140">
        <v>196.13</v>
      </c>
      <c r="G59" s="139">
        <v>39225</v>
      </c>
      <c r="H59" s="139" t="s">
        <v>1512</v>
      </c>
      <c r="I59" s="139">
        <v>5.0000000000000001E-3</v>
      </c>
      <c r="J59" s="156"/>
      <c r="K59" s="149">
        <v>4.0000000000000002E-4</v>
      </c>
    </row>
    <row r="60" spans="1:15">
      <c r="A60" s="137" t="s">
        <v>951</v>
      </c>
      <c r="B60" s="138" t="s">
        <v>1516</v>
      </c>
      <c r="C60" s="139">
        <v>235.35</v>
      </c>
      <c r="D60" s="139"/>
      <c r="E60" s="139"/>
      <c r="F60" s="140">
        <v>235.35</v>
      </c>
      <c r="G60" s="139">
        <v>39225</v>
      </c>
      <c r="H60" s="139" t="s">
        <v>1512</v>
      </c>
      <c r="I60" s="139">
        <v>6.0000000000000001E-3</v>
      </c>
      <c r="J60" s="156"/>
      <c r="K60" s="149">
        <v>5.0000000000000001E-4</v>
      </c>
    </row>
    <row r="61" spans="1:15">
      <c r="A61" s="137" t="s">
        <v>952</v>
      </c>
      <c r="B61" s="138" t="s">
        <v>1517</v>
      </c>
      <c r="C61" s="139">
        <v>9414</v>
      </c>
      <c r="D61" s="139"/>
      <c r="E61" s="139"/>
      <c r="F61" s="140">
        <v>9414</v>
      </c>
      <c r="G61" s="139">
        <v>39225</v>
      </c>
      <c r="H61" s="139" t="s">
        <v>1512</v>
      </c>
      <c r="I61" s="139">
        <v>0.24</v>
      </c>
      <c r="J61" s="156"/>
      <c r="K61" s="149">
        <v>1.83E-2</v>
      </c>
    </row>
    <row r="62" spans="1:15">
      <c r="A62" s="137" t="s">
        <v>953</v>
      </c>
      <c r="B62" s="138" t="s">
        <v>1518</v>
      </c>
      <c r="C62" s="139">
        <v>4707</v>
      </c>
      <c r="D62" s="139"/>
      <c r="E62" s="139"/>
      <c r="F62" s="140">
        <v>4707</v>
      </c>
      <c r="G62" s="139">
        <v>39225</v>
      </c>
      <c r="H62" s="139" t="s">
        <v>1512</v>
      </c>
      <c r="I62" s="139">
        <v>0.12</v>
      </c>
      <c r="J62" s="156"/>
      <c r="K62" s="149">
        <v>9.1999999999999998E-3</v>
      </c>
    </row>
    <row r="63" spans="1:15">
      <c r="A63" s="137" t="s">
        <v>954</v>
      </c>
      <c r="B63" s="138" t="s">
        <v>1519</v>
      </c>
      <c r="C63" s="139">
        <v>588.38</v>
      </c>
      <c r="D63" s="139"/>
      <c r="E63" s="139"/>
      <c r="F63" s="140">
        <v>588.38</v>
      </c>
      <c r="G63" s="139">
        <v>39225</v>
      </c>
      <c r="H63" s="139" t="s">
        <v>1512</v>
      </c>
      <c r="I63" s="139">
        <v>1.4999999999999999E-2</v>
      </c>
      <c r="J63" s="156"/>
      <c r="K63" s="149">
        <v>1.1000000000000001E-3</v>
      </c>
    </row>
    <row r="64" spans="1:15">
      <c r="A64" s="137" t="s">
        <v>955</v>
      </c>
      <c r="B64" s="138" t="s">
        <v>1520</v>
      </c>
      <c r="C64" s="139">
        <v>1176.75</v>
      </c>
      <c r="D64" s="139"/>
      <c r="E64" s="139"/>
      <c r="F64" s="140">
        <v>1176.75</v>
      </c>
      <c r="G64" s="139">
        <v>39225</v>
      </c>
      <c r="H64" s="139" t="s">
        <v>1512</v>
      </c>
      <c r="I64" s="139">
        <v>0.03</v>
      </c>
      <c r="J64" s="156"/>
      <c r="K64" s="149">
        <v>2.3E-3</v>
      </c>
    </row>
    <row r="65" spans="1:18">
      <c r="A65" s="137" t="s">
        <v>956</v>
      </c>
      <c r="B65" s="138" t="s">
        <v>1521</v>
      </c>
      <c r="C65" s="139">
        <v>2745.75</v>
      </c>
      <c r="D65" s="139"/>
      <c r="E65" s="139"/>
      <c r="F65" s="140">
        <v>2745.75</v>
      </c>
      <c r="G65" s="139">
        <v>39225</v>
      </c>
      <c r="H65" s="139" t="s">
        <v>1512</v>
      </c>
      <c r="I65" s="139">
        <v>7.0000000000000007E-2</v>
      </c>
      <c r="J65" s="156"/>
      <c r="K65" s="149">
        <v>5.4000000000000003E-3</v>
      </c>
    </row>
    <row r="66" spans="1:18">
      <c r="A66" s="137" t="s">
        <v>957</v>
      </c>
      <c r="B66" s="138" t="s">
        <v>1522</v>
      </c>
      <c r="C66" s="139"/>
      <c r="D66" s="139">
        <v>180</v>
      </c>
      <c r="E66" s="139"/>
      <c r="F66" s="140">
        <v>180</v>
      </c>
      <c r="G66" s="139">
        <v>4</v>
      </c>
      <c r="H66" s="139" t="s">
        <v>1523</v>
      </c>
      <c r="I66" s="139">
        <v>45</v>
      </c>
      <c r="J66" s="156"/>
      <c r="K66" s="149">
        <v>4.0000000000000002E-4</v>
      </c>
    </row>
    <row r="67" spans="1:18">
      <c r="A67" s="137" t="s">
        <v>958</v>
      </c>
      <c r="B67" s="138" t="s">
        <v>1524</v>
      </c>
      <c r="C67" s="139">
        <v>235.35</v>
      </c>
      <c r="D67" s="139"/>
      <c r="E67" s="139"/>
      <c r="F67" s="140">
        <v>235.35</v>
      </c>
      <c r="G67" s="139">
        <v>39225</v>
      </c>
      <c r="H67" s="139" t="s">
        <v>1512</v>
      </c>
      <c r="I67" s="139">
        <v>6.0000000000000001E-3</v>
      </c>
      <c r="J67" s="156"/>
      <c r="K67" s="149">
        <v>5.0000000000000001E-4</v>
      </c>
    </row>
    <row r="68" spans="1:18">
      <c r="A68" s="137" t="s">
        <v>959</v>
      </c>
      <c r="B68" s="138" t="s">
        <v>1525</v>
      </c>
      <c r="C68" s="139">
        <v>78.45</v>
      </c>
      <c r="D68" s="139"/>
      <c r="E68" s="139"/>
      <c r="F68" s="140">
        <v>78.45</v>
      </c>
      <c r="G68" s="139">
        <v>39225</v>
      </c>
      <c r="H68" s="139" t="s">
        <v>1512</v>
      </c>
      <c r="I68" s="139">
        <v>2E-3</v>
      </c>
      <c r="J68" s="156"/>
      <c r="K68" s="149">
        <v>2.0000000000000001E-4</v>
      </c>
    </row>
    <row r="69" spans="1:18">
      <c r="A69" s="134">
        <v>2.2000000000000002</v>
      </c>
      <c r="B69" s="135" t="s">
        <v>1552</v>
      </c>
      <c r="C69" s="136">
        <v>11200.76</v>
      </c>
      <c r="D69" s="136">
        <v>180</v>
      </c>
      <c r="E69" s="136">
        <v>0</v>
      </c>
      <c r="F69" s="136">
        <v>11380.76</v>
      </c>
      <c r="G69" s="136">
        <v>20936</v>
      </c>
      <c r="H69" s="136" t="s">
        <v>1512</v>
      </c>
      <c r="I69" s="136">
        <v>0.54400000000000004</v>
      </c>
      <c r="J69" s="157"/>
      <c r="K69" s="154">
        <v>2.2200000000000001E-2</v>
      </c>
    </row>
    <row r="70" spans="1:18">
      <c r="A70" s="137" t="s">
        <v>963</v>
      </c>
      <c r="B70" s="138" t="s">
        <v>1515</v>
      </c>
      <c r="C70" s="139">
        <v>104.68</v>
      </c>
      <c r="D70" s="139"/>
      <c r="E70" s="139"/>
      <c r="F70" s="140">
        <v>104.68</v>
      </c>
      <c r="G70" s="139">
        <v>20936</v>
      </c>
      <c r="H70" s="139" t="s">
        <v>1512</v>
      </c>
      <c r="I70" s="139">
        <v>5.0000000000000001E-3</v>
      </c>
      <c r="J70" s="156"/>
      <c r="K70" s="149">
        <v>2.0000000000000001E-4</v>
      </c>
    </row>
    <row r="71" spans="1:18">
      <c r="A71" s="137" t="s">
        <v>964</v>
      </c>
      <c r="B71" s="138" t="s">
        <v>1516</v>
      </c>
      <c r="C71" s="139">
        <v>146.55000000000001</v>
      </c>
      <c r="D71" s="139"/>
      <c r="E71" s="139"/>
      <c r="F71" s="140">
        <v>146.55000000000001</v>
      </c>
      <c r="G71" s="139">
        <v>20936</v>
      </c>
      <c r="H71" s="139" t="s">
        <v>1512</v>
      </c>
      <c r="I71" s="139">
        <v>7.0000000000000001E-3</v>
      </c>
      <c r="J71" s="156"/>
      <c r="K71" s="149">
        <v>2.9999999999999997E-4</v>
      </c>
    </row>
    <row r="72" spans="1:18">
      <c r="A72" s="137" t="s">
        <v>965</v>
      </c>
      <c r="B72" s="138" t="s">
        <v>1517</v>
      </c>
      <c r="C72" s="139">
        <v>5443.36</v>
      </c>
      <c r="D72" s="139"/>
      <c r="E72" s="139"/>
      <c r="F72" s="140">
        <v>5443.36</v>
      </c>
      <c r="G72" s="139">
        <v>20936</v>
      </c>
      <c r="H72" s="139" t="s">
        <v>1512</v>
      </c>
      <c r="I72" s="139">
        <v>0.26</v>
      </c>
      <c r="J72" s="156"/>
      <c r="K72" s="149">
        <v>1.06E-2</v>
      </c>
    </row>
    <row r="73" spans="1:18">
      <c r="A73" s="137" t="s">
        <v>966</v>
      </c>
      <c r="B73" s="138" t="s">
        <v>1518</v>
      </c>
      <c r="C73" s="139">
        <v>2931.04</v>
      </c>
      <c r="D73" s="139"/>
      <c r="E73" s="139"/>
      <c r="F73" s="140">
        <v>2931.04</v>
      </c>
      <c r="G73" s="139">
        <v>20936</v>
      </c>
      <c r="H73" s="139" t="s">
        <v>1512</v>
      </c>
      <c r="I73" s="139">
        <v>0.14000000000000001</v>
      </c>
      <c r="J73" s="156"/>
      <c r="K73" s="149">
        <v>5.7000000000000002E-3</v>
      </c>
    </row>
    <row r="74" spans="1:18">
      <c r="A74" s="137" t="s">
        <v>967</v>
      </c>
      <c r="B74" s="138" t="s">
        <v>1519</v>
      </c>
      <c r="C74" s="139">
        <v>314.04000000000002</v>
      </c>
      <c r="D74" s="139"/>
      <c r="E74" s="139"/>
      <c r="F74" s="140">
        <v>314.04000000000002</v>
      </c>
      <c r="G74" s="139">
        <v>20936</v>
      </c>
      <c r="H74" s="139" t="s">
        <v>1512</v>
      </c>
      <c r="I74" s="139">
        <v>1.4999999999999999E-2</v>
      </c>
      <c r="J74" s="156"/>
      <c r="K74" s="149">
        <v>5.9999999999999995E-4</v>
      </c>
    </row>
    <row r="75" spans="1:18">
      <c r="A75" s="137" t="s">
        <v>968</v>
      </c>
      <c r="B75" s="138" t="s">
        <v>1520</v>
      </c>
      <c r="C75" s="139">
        <v>628.08000000000004</v>
      </c>
      <c r="D75" s="139"/>
      <c r="E75" s="139"/>
      <c r="F75" s="140">
        <v>628.08000000000004</v>
      </c>
      <c r="G75" s="139">
        <v>20936</v>
      </c>
      <c r="H75" s="139" t="s">
        <v>1512</v>
      </c>
      <c r="I75" s="139">
        <v>0.03</v>
      </c>
      <c r="J75" s="156"/>
      <c r="K75" s="149">
        <v>1.1999999999999999E-3</v>
      </c>
    </row>
    <row r="76" spans="1:18">
      <c r="A76" s="137" t="s">
        <v>969</v>
      </c>
      <c r="B76" s="138" t="s">
        <v>1521</v>
      </c>
      <c r="C76" s="139">
        <v>1465.52</v>
      </c>
      <c r="D76" s="139"/>
      <c r="E76" s="139"/>
      <c r="F76" s="140">
        <v>1465.52</v>
      </c>
      <c r="G76" s="139">
        <v>20936</v>
      </c>
      <c r="H76" s="139" t="s">
        <v>1512</v>
      </c>
      <c r="I76" s="139">
        <v>7.0000000000000007E-2</v>
      </c>
      <c r="J76" s="156"/>
      <c r="K76" s="149">
        <v>2.8999999999999998E-3</v>
      </c>
    </row>
    <row r="77" spans="1:18">
      <c r="A77" s="137" t="s">
        <v>970</v>
      </c>
      <c r="B77" s="138" t="s">
        <v>1522</v>
      </c>
      <c r="C77" s="139"/>
      <c r="D77" s="139">
        <v>180</v>
      </c>
      <c r="E77" s="139"/>
      <c r="F77" s="140">
        <v>180</v>
      </c>
      <c r="G77" s="139">
        <v>4</v>
      </c>
      <c r="H77" s="139" t="s">
        <v>1523</v>
      </c>
      <c r="I77" s="139">
        <v>45</v>
      </c>
      <c r="J77" s="156"/>
      <c r="K77" s="149">
        <v>4.0000000000000002E-4</v>
      </c>
    </row>
    <row r="78" spans="1:18">
      <c r="A78" s="137" t="s">
        <v>971</v>
      </c>
      <c r="B78" s="138" t="s">
        <v>1524</v>
      </c>
      <c r="C78" s="139">
        <v>125.62</v>
      </c>
      <c r="D78" s="139"/>
      <c r="E78" s="139"/>
      <c r="F78" s="140">
        <v>125.62</v>
      </c>
      <c r="G78" s="139">
        <v>20936</v>
      </c>
      <c r="H78" s="139" t="s">
        <v>1512</v>
      </c>
      <c r="I78" s="139">
        <v>6.0000000000000001E-3</v>
      </c>
      <c r="J78" s="156"/>
      <c r="K78" s="149">
        <v>2.0000000000000001E-4</v>
      </c>
    </row>
    <row r="79" spans="1:18">
      <c r="A79" s="137" t="s">
        <v>972</v>
      </c>
      <c r="B79" s="138" t="s">
        <v>1525</v>
      </c>
      <c r="C79" s="139">
        <v>41.87</v>
      </c>
      <c r="D79" s="139"/>
      <c r="E79" s="139"/>
      <c r="F79" s="140">
        <v>41.87</v>
      </c>
      <c r="G79" s="139">
        <v>20936</v>
      </c>
      <c r="H79" s="139" t="s">
        <v>1512</v>
      </c>
      <c r="I79" s="139">
        <v>2E-3</v>
      </c>
      <c r="J79" s="156"/>
      <c r="K79" s="149">
        <v>1E-4</v>
      </c>
    </row>
    <row r="80" spans="1:18">
      <c r="A80" s="158">
        <v>2.2999999999999998</v>
      </c>
      <c r="B80" s="159" t="s">
        <v>1553</v>
      </c>
      <c r="C80" s="160">
        <v>2722.5</v>
      </c>
      <c r="D80" s="160">
        <v>0</v>
      </c>
      <c r="E80" s="160">
        <v>0</v>
      </c>
      <c r="F80" s="160">
        <v>2722.5</v>
      </c>
      <c r="G80" s="160">
        <v>4500</v>
      </c>
      <c r="H80" s="160" t="s">
        <v>1512</v>
      </c>
      <c r="I80" s="160">
        <v>0.60499999999999998</v>
      </c>
      <c r="J80" s="166"/>
      <c r="K80" s="167">
        <v>5.3E-3</v>
      </c>
      <c r="L80" s="144"/>
      <c r="M80" s="144"/>
      <c r="N80" s="145"/>
      <c r="O80" s="144"/>
      <c r="P80" s="155"/>
      <c r="Q80" s="155"/>
      <c r="R80" s="155"/>
    </row>
    <row r="81" spans="1:11">
      <c r="A81" s="161" t="s">
        <v>975</v>
      </c>
      <c r="B81" s="162" t="s">
        <v>1515</v>
      </c>
      <c r="C81" s="163">
        <v>22.5</v>
      </c>
      <c r="D81" s="163"/>
      <c r="E81" s="163"/>
      <c r="F81" s="164">
        <v>22.5</v>
      </c>
      <c r="G81" s="163">
        <v>4500</v>
      </c>
      <c r="H81" s="163" t="s">
        <v>1512</v>
      </c>
      <c r="I81" s="163">
        <v>5.0000000000000001E-3</v>
      </c>
      <c r="J81" s="168"/>
      <c r="K81" s="169">
        <v>0</v>
      </c>
    </row>
    <row r="82" spans="1:11">
      <c r="A82" s="137" t="s">
        <v>976</v>
      </c>
      <c r="B82" s="138" t="s">
        <v>1516</v>
      </c>
      <c r="C82" s="139">
        <v>31.5</v>
      </c>
      <c r="D82" s="139"/>
      <c r="E82" s="139"/>
      <c r="F82" s="140">
        <v>31.5</v>
      </c>
      <c r="G82" s="139">
        <v>4500</v>
      </c>
      <c r="H82" s="139" t="s">
        <v>1512</v>
      </c>
      <c r="I82" s="139">
        <v>7.0000000000000001E-3</v>
      </c>
      <c r="J82" s="156"/>
      <c r="K82" s="149">
        <v>1E-4</v>
      </c>
    </row>
    <row r="83" spans="1:11">
      <c r="A83" s="137" t="s">
        <v>977</v>
      </c>
      <c r="B83" s="138" t="s">
        <v>1517</v>
      </c>
      <c r="C83" s="139">
        <v>1170</v>
      </c>
      <c r="D83" s="139"/>
      <c r="E83" s="139"/>
      <c r="F83" s="140">
        <v>1170</v>
      </c>
      <c r="G83" s="139">
        <v>4500</v>
      </c>
      <c r="H83" s="139" t="s">
        <v>1512</v>
      </c>
      <c r="I83" s="139">
        <v>0.26</v>
      </c>
      <c r="J83" s="156"/>
      <c r="K83" s="149">
        <v>2.3E-3</v>
      </c>
    </row>
    <row r="84" spans="1:11">
      <c r="A84" s="137" t="s">
        <v>978</v>
      </c>
      <c r="B84" s="138" t="s">
        <v>1518</v>
      </c>
      <c r="C84" s="139">
        <v>810</v>
      </c>
      <c r="D84" s="139"/>
      <c r="E84" s="139"/>
      <c r="F84" s="140">
        <v>810</v>
      </c>
      <c r="G84" s="139">
        <v>4500</v>
      </c>
      <c r="H84" s="139" t="s">
        <v>1512</v>
      </c>
      <c r="I84" s="139">
        <v>0.18</v>
      </c>
      <c r="J84" s="156"/>
      <c r="K84" s="149">
        <v>1.6000000000000001E-3</v>
      </c>
    </row>
    <row r="85" spans="1:11">
      <c r="A85" s="137" t="s">
        <v>979</v>
      </c>
      <c r="B85" s="138" t="s">
        <v>1519</v>
      </c>
      <c r="C85" s="139">
        <v>67.5</v>
      </c>
      <c r="D85" s="139"/>
      <c r="E85" s="139"/>
      <c r="F85" s="140">
        <v>67.5</v>
      </c>
      <c r="G85" s="139">
        <v>4500</v>
      </c>
      <c r="H85" s="139" t="s">
        <v>1512</v>
      </c>
      <c r="I85" s="139">
        <v>1.4999999999999999E-2</v>
      </c>
      <c r="J85" s="156"/>
      <c r="K85" s="149">
        <v>1E-4</v>
      </c>
    </row>
    <row r="86" spans="1:11">
      <c r="A86" s="137" t="s">
        <v>980</v>
      </c>
      <c r="B86" s="138" t="s">
        <v>1520</v>
      </c>
      <c r="C86" s="139">
        <v>225</v>
      </c>
      <c r="D86" s="139"/>
      <c r="E86" s="139"/>
      <c r="F86" s="140">
        <v>225</v>
      </c>
      <c r="G86" s="139">
        <v>4500</v>
      </c>
      <c r="H86" s="139" t="s">
        <v>1512</v>
      </c>
      <c r="I86" s="139">
        <v>0.05</v>
      </c>
      <c r="J86" s="156"/>
      <c r="K86" s="149">
        <v>4.0000000000000002E-4</v>
      </c>
    </row>
    <row r="87" spans="1:11">
      <c r="A87" s="137" t="s">
        <v>981</v>
      </c>
      <c r="B87" s="138" t="s">
        <v>1521</v>
      </c>
      <c r="C87" s="139">
        <v>360</v>
      </c>
      <c r="D87" s="139"/>
      <c r="E87" s="139"/>
      <c r="F87" s="140">
        <v>360</v>
      </c>
      <c r="G87" s="139">
        <v>4500</v>
      </c>
      <c r="H87" s="139" t="s">
        <v>1512</v>
      </c>
      <c r="I87" s="139">
        <v>0.08</v>
      </c>
      <c r="J87" s="156"/>
      <c r="K87" s="149">
        <v>6.9999999999999999E-4</v>
      </c>
    </row>
    <row r="88" spans="1:11">
      <c r="A88" s="137" t="s">
        <v>982</v>
      </c>
      <c r="B88" s="138" t="s">
        <v>1522</v>
      </c>
      <c r="C88" s="139"/>
      <c r="D88" s="139">
        <v>0</v>
      </c>
      <c r="E88" s="139"/>
      <c r="F88" s="140">
        <v>0</v>
      </c>
      <c r="G88" s="139">
        <v>0</v>
      </c>
      <c r="H88" s="139" t="s">
        <v>1523</v>
      </c>
      <c r="I88" s="139">
        <v>45</v>
      </c>
      <c r="J88" s="156"/>
      <c r="K88" s="149">
        <v>0</v>
      </c>
    </row>
    <row r="89" spans="1:11">
      <c r="A89" s="137" t="s">
        <v>983</v>
      </c>
      <c r="B89" s="138" t="s">
        <v>1524</v>
      </c>
      <c r="C89" s="139">
        <v>27</v>
      </c>
      <c r="D89" s="139"/>
      <c r="E89" s="139"/>
      <c r="F89" s="140">
        <v>27</v>
      </c>
      <c r="G89" s="139">
        <v>4500</v>
      </c>
      <c r="H89" s="139" t="s">
        <v>1512</v>
      </c>
      <c r="I89" s="139">
        <v>6.0000000000000001E-3</v>
      </c>
      <c r="J89" s="156"/>
      <c r="K89" s="149">
        <v>1E-4</v>
      </c>
    </row>
    <row r="90" spans="1:11">
      <c r="A90" s="137" t="s">
        <v>984</v>
      </c>
      <c r="B90" s="138" t="s">
        <v>1525</v>
      </c>
      <c r="C90" s="139">
        <v>9</v>
      </c>
      <c r="D90" s="139"/>
      <c r="E90" s="139"/>
      <c r="F90" s="140">
        <v>9</v>
      </c>
      <c r="G90" s="139">
        <v>4500</v>
      </c>
      <c r="H90" s="139" t="s">
        <v>1512</v>
      </c>
      <c r="I90" s="139">
        <v>2E-3</v>
      </c>
      <c r="J90" s="156"/>
      <c r="K90" s="149">
        <v>0</v>
      </c>
    </row>
    <row r="91" spans="1:11">
      <c r="A91" s="134">
        <v>2.4</v>
      </c>
      <c r="B91" s="135" t="s">
        <v>1554</v>
      </c>
      <c r="C91" s="136">
        <v>9822.7000000000007</v>
      </c>
      <c r="D91" s="136">
        <v>0</v>
      </c>
      <c r="E91" s="136">
        <v>0</v>
      </c>
      <c r="F91" s="136">
        <v>9822.7000000000007</v>
      </c>
      <c r="G91" s="165">
        <v>19884</v>
      </c>
      <c r="H91" s="136" t="s">
        <v>1512</v>
      </c>
      <c r="I91" s="136">
        <v>0.49399999999999999</v>
      </c>
      <c r="J91" s="157"/>
      <c r="K91" s="154">
        <v>1.9099999999999999E-2</v>
      </c>
    </row>
    <row r="92" spans="1:11">
      <c r="A92" s="137" t="s">
        <v>298</v>
      </c>
      <c r="B92" s="138" t="s">
        <v>1515</v>
      </c>
      <c r="C92" s="139">
        <v>99.42</v>
      </c>
      <c r="D92" s="139"/>
      <c r="E92" s="139"/>
      <c r="F92" s="140">
        <v>99.42</v>
      </c>
      <c r="G92" s="139">
        <v>19884</v>
      </c>
      <c r="H92" s="139" t="s">
        <v>1512</v>
      </c>
      <c r="I92" s="139">
        <v>5.0000000000000001E-3</v>
      </c>
      <c r="J92" s="156"/>
      <c r="K92" s="149">
        <v>2.0000000000000001E-4</v>
      </c>
    </row>
    <row r="93" spans="1:11">
      <c r="A93" s="137" t="s">
        <v>299</v>
      </c>
      <c r="B93" s="138" t="s">
        <v>1516</v>
      </c>
      <c r="C93" s="139">
        <v>119.3</v>
      </c>
      <c r="D93" s="139"/>
      <c r="E93" s="139"/>
      <c r="F93" s="140">
        <v>119.3</v>
      </c>
      <c r="G93" s="139">
        <v>19884</v>
      </c>
      <c r="H93" s="139" t="s">
        <v>1512</v>
      </c>
      <c r="I93" s="139">
        <v>6.0000000000000001E-3</v>
      </c>
      <c r="J93" s="156"/>
      <c r="K93" s="149">
        <v>2.0000000000000001E-4</v>
      </c>
    </row>
    <row r="94" spans="1:11">
      <c r="A94" s="137" t="s">
        <v>300</v>
      </c>
      <c r="B94" s="138" t="s">
        <v>1517</v>
      </c>
      <c r="C94" s="139">
        <v>4772.16</v>
      </c>
      <c r="D94" s="139"/>
      <c r="E94" s="139"/>
      <c r="F94" s="140">
        <v>4772.16</v>
      </c>
      <c r="G94" s="139">
        <v>19884</v>
      </c>
      <c r="H94" s="139" t="s">
        <v>1512</v>
      </c>
      <c r="I94" s="139">
        <v>0.24</v>
      </c>
      <c r="J94" s="156"/>
      <c r="K94" s="149">
        <v>9.2999999999999992E-3</v>
      </c>
    </row>
    <row r="95" spans="1:11">
      <c r="A95" s="137" t="s">
        <v>301</v>
      </c>
      <c r="B95" s="138" t="s">
        <v>1518</v>
      </c>
      <c r="C95" s="139">
        <v>2386.08</v>
      </c>
      <c r="D95" s="139"/>
      <c r="E95" s="139"/>
      <c r="F95" s="140">
        <v>2386.08</v>
      </c>
      <c r="G95" s="139">
        <v>19884</v>
      </c>
      <c r="H95" s="139" t="s">
        <v>1512</v>
      </c>
      <c r="I95" s="139">
        <v>0.12</v>
      </c>
      <c r="J95" s="156"/>
      <c r="K95" s="149">
        <v>4.5999999999999999E-3</v>
      </c>
    </row>
    <row r="96" spans="1:11">
      <c r="A96" s="137" t="s">
        <v>302</v>
      </c>
      <c r="B96" s="138" t="s">
        <v>1519</v>
      </c>
      <c r="C96" s="139">
        <v>298.26</v>
      </c>
      <c r="D96" s="139"/>
      <c r="E96" s="139"/>
      <c r="F96" s="140">
        <v>298.26</v>
      </c>
      <c r="G96" s="139">
        <v>19884</v>
      </c>
      <c r="H96" s="139" t="s">
        <v>1512</v>
      </c>
      <c r="I96" s="139">
        <v>1.4999999999999999E-2</v>
      </c>
      <c r="J96" s="156"/>
      <c r="K96" s="149">
        <v>5.9999999999999995E-4</v>
      </c>
    </row>
    <row r="97" spans="1:11">
      <c r="A97" s="137" t="s">
        <v>303</v>
      </c>
      <c r="B97" s="138" t="s">
        <v>1520</v>
      </c>
      <c r="C97" s="139">
        <v>596.52</v>
      </c>
      <c r="D97" s="139"/>
      <c r="E97" s="139"/>
      <c r="F97" s="140">
        <v>596.52</v>
      </c>
      <c r="G97" s="139">
        <v>19884</v>
      </c>
      <c r="H97" s="139" t="s">
        <v>1512</v>
      </c>
      <c r="I97" s="139">
        <v>0.03</v>
      </c>
      <c r="J97" s="156"/>
      <c r="K97" s="149">
        <v>1.1999999999999999E-3</v>
      </c>
    </row>
    <row r="98" spans="1:11">
      <c r="A98" s="137" t="s">
        <v>304</v>
      </c>
      <c r="B98" s="138" t="s">
        <v>1521</v>
      </c>
      <c r="C98" s="139">
        <v>1391.88</v>
      </c>
      <c r="D98" s="139"/>
      <c r="E98" s="139"/>
      <c r="F98" s="140">
        <v>1391.88</v>
      </c>
      <c r="G98" s="139">
        <v>19884</v>
      </c>
      <c r="H98" s="139" t="s">
        <v>1512</v>
      </c>
      <c r="I98" s="139">
        <v>7.0000000000000007E-2</v>
      </c>
      <c r="J98" s="156"/>
      <c r="K98" s="149">
        <v>2.7000000000000001E-3</v>
      </c>
    </row>
    <row r="99" spans="1:11">
      <c r="A99" s="137" t="s">
        <v>305</v>
      </c>
      <c r="B99" s="138" t="s">
        <v>1522</v>
      </c>
      <c r="C99" s="139"/>
      <c r="D99" s="139">
        <v>0</v>
      </c>
      <c r="E99" s="139"/>
      <c r="F99" s="140">
        <v>0</v>
      </c>
      <c r="G99" s="139">
        <v>0</v>
      </c>
      <c r="H99" s="139" t="s">
        <v>1523</v>
      </c>
      <c r="I99" s="139">
        <v>45</v>
      </c>
      <c r="J99" s="156"/>
      <c r="K99" s="149">
        <v>0</v>
      </c>
    </row>
    <row r="100" spans="1:11">
      <c r="A100" s="137" t="s">
        <v>987</v>
      </c>
      <c r="B100" s="138" t="s">
        <v>1524</v>
      </c>
      <c r="C100" s="139">
        <v>119.3</v>
      </c>
      <c r="D100" s="139"/>
      <c r="E100" s="139"/>
      <c r="F100" s="140">
        <v>119.3</v>
      </c>
      <c r="G100" s="139">
        <v>19884</v>
      </c>
      <c r="H100" s="139" t="s">
        <v>1512</v>
      </c>
      <c r="I100" s="139">
        <v>6.0000000000000001E-3</v>
      </c>
      <c r="J100" s="156"/>
      <c r="K100" s="149">
        <v>2.0000000000000001E-4</v>
      </c>
    </row>
    <row r="101" spans="1:11">
      <c r="A101" s="137" t="s">
        <v>988</v>
      </c>
      <c r="B101" s="138" t="s">
        <v>1525</v>
      </c>
      <c r="C101" s="139">
        <v>39.770000000000003</v>
      </c>
      <c r="D101" s="139"/>
      <c r="E101" s="139"/>
      <c r="F101" s="140">
        <v>39.770000000000003</v>
      </c>
      <c r="G101" s="139">
        <v>19884</v>
      </c>
      <c r="H101" s="139" t="s">
        <v>1512</v>
      </c>
      <c r="I101" s="139">
        <v>2E-3</v>
      </c>
      <c r="J101" s="156"/>
      <c r="K101" s="149">
        <v>1E-4</v>
      </c>
    </row>
    <row r="102" spans="1:11">
      <c r="A102" s="134">
        <v>2.5</v>
      </c>
      <c r="B102" s="135" t="s">
        <v>1555</v>
      </c>
      <c r="C102" s="136">
        <v>9822.7000000000007</v>
      </c>
      <c r="D102" s="136">
        <v>0</v>
      </c>
      <c r="E102" s="136">
        <v>0</v>
      </c>
      <c r="F102" s="136">
        <v>9822.7000000000007</v>
      </c>
      <c r="G102" s="165">
        <v>19884</v>
      </c>
      <c r="H102" s="136" t="s">
        <v>1512</v>
      </c>
      <c r="I102" s="136">
        <v>0.49399999999999999</v>
      </c>
      <c r="J102" s="157"/>
      <c r="K102" s="154">
        <v>1.9099999999999999E-2</v>
      </c>
    </row>
    <row r="103" spans="1:11">
      <c r="A103" s="137" t="s">
        <v>307</v>
      </c>
      <c r="B103" s="138" t="s">
        <v>1515</v>
      </c>
      <c r="C103" s="139">
        <v>99.42</v>
      </c>
      <c r="D103" s="139"/>
      <c r="E103" s="139"/>
      <c r="F103" s="140">
        <v>99.42</v>
      </c>
      <c r="G103" s="139">
        <v>19884</v>
      </c>
      <c r="H103" s="139" t="s">
        <v>1512</v>
      </c>
      <c r="I103" s="139">
        <v>5.0000000000000001E-3</v>
      </c>
      <c r="J103" s="156"/>
      <c r="K103" s="149">
        <v>2.0000000000000001E-4</v>
      </c>
    </row>
    <row r="104" spans="1:11">
      <c r="A104" s="137" t="s">
        <v>308</v>
      </c>
      <c r="B104" s="138" t="s">
        <v>1516</v>
      </c>
      <c r="C104" s="139">
        <v>119.3</v>
      </c>
      <c r="D104" s="139"/>
      <c r="E104" s="139"/>
      <c r="F104" s="140">
        <v>119.3</v>
      </c>
      <c r="G104" s="139">
        <v>19884</v>
      </c>
      <c r="H104" s="139" t="s">
        <v>1512</v>
      </c>
      <c r="I104" s="139">
        <v>6.0000000000000001E-3</v>
      </c>
      <c r="J104" s="156"/>
      <c r="K104" s="149">
        <v>2.0000000000000001E-4</v>
      </c>
    </row>
    <row r="105" spans="1:11">
      <c r="A105" s="137" t="s">
        <v>309</v>
      </c>
      <c r="B105" s="138" t="s">
        <v>1517</v>
      </c>
      <c r="C105" s="139">
        <v>4772.16</v>
      </c>
      <c r="D105" s="139"/>
      <c r="E105" s="139"/>
      <c r="F105" s="140">
        <v>4772.16</v>
      </c>
      <c r="G105" s="139">
        <v>19884</v>
      </c>
      <c r="H105" s="139" t="s">
        <v>1512</v>
      </c>
      <c r="I105" s="139">
        <v>0.24</v>
      </c>
      <c r="J105" s="156"/>
      <c r="K105" s="149">
        <v>9.2999999999999992E-3</v>
      </c>
    </row>
    <row r="106" spans="1:11">
      <c r="A106" s="137" t="s">
        <v>310</v>
      </c>
      <c r="B106" s="138" t="s">
        <v>1518</v>
      </c>
      <c r="C106" s="139">
        <v>2386.08</v>
      </c>
      <c r="D106" s="139"/>
      <c r="E106" s="139"/>
      <c r="F106" s="140">
        <v>2386.08</v>
      </c>
      <c r="G106" s="139">
        <v>19884</v>
      </c>
      <c r="H106" s="139" t="s">
        <v>1512</v>
      </c>
      <c r="I106" s="139">
        <v>0.12</v>
      </c>
      <c r="J106" s="156"/>
      <c r="K106" s="149">
        <v>4.5999999999999999E-3</v>
      </c>
    </row>
    <row r="107" spans="1:11">
      <c r="A107" s="137" t="s">
        <v>311</v>
      </c>
      <c r="B107" s="138" t="s">
        <v>1519</v>
      </c>
      <c r="C107" s="139">
        <v>298.26</v>
      </c>
      <c r="D107" s="139"/>
      <c r="E107" s="139"/>
      <c r="F107" s="140">
        <v>298.26</v>
      </c>
      <c r="G107" s="139">
        <v>19884</v>
      </c>
      <c r="H107" s="139" t="s">
        <v>1512</v>
      </c>
      <c r="I107" s="139">
        <v>1.4999999999999999E-2</v>
      </c>
      <c r="J107" s="156"/>
      <c r="K107" s="149">
        <v>5.9999999999999995E-4</v>
      </c>
    </row>
    <row r="108" spans="1:11">
      <c r="A108" s="137" t="s">
        <v>312</v>
      </c>
      <c r="B108" s="138" t="s">
        <v>1520</v>
      </c>
      <c r="C108" s="139">
        <v>596.52</v>
      </c>
      <c r="D108" s="139"/>
      <c r="E108" s="139"/>
      <c r="F108" s="140">
        <v>596.52</v>
      </c>
      <c r="G108" s="139">
        <v>19884</v>
      </c>
      <c r="H108" s="139" t="s">
        <v>1512</v>
      </c>
      <c r="I108" s="139">
        <v>0.03</v>
      </c>
      <c r="J108" s="156"/>
      <c r="K108" s="149">
        <v>1.1999999999999999E-3</v>
      </c>
    </row>
    <row r="109" spans="1:11">
      <c r="A109" s="137" t="s">
        <v>313</v>
      </c>
      <c r="B109" s="138" t="s">
        <v>1521</v>
      </c>
      <c r="C109" s="139">
        <v>1391.88</v>
      </c>
      <c r="D109" s="139"/>
      <c r="E109" s="139"/>
      <c r="F109" s="140">
        <v>1391.88</v>
      </c>
      <c r="G109" s="139">
        <v>19884</v>
      </c>
      <c r="H109" s="139" t="s">
        <v>1512</v>
      </c>
      <c r="I109" s="139">
        <v>7.0000000000000007E-2</v>
      </c>
      <c r="J109" s="156"/>
      <c r="K109" s="149">
        <v>2.7000000000000001E-3</v>
      </c>
    </row>
    <row r="110" spans="1:11">
      <c r="A110" s="137" t="s">
        <v>314</v>
      </c>
      <c r="B110" s="138" t="s">
        <v>1522</v>
      </c>
      <c r="C110" s="139"/>
      <c r="D110" s="139">
        <v>0</v>
      </c>
      <c r="E110" s="139"/>
      <c r="F110" s="140">
        <v>0</v>
      </c>
      <c r="G110" s="139">
        <v>0</v>
      </c>
      <c r="H110" s="139" t="s">
        <v>1523</v>
      </c>
      <c r="I110" s="139">
        <v>45</v>
      </c>
      <c r="J110" s="156"/>
      <c r="K110" s="149">
        <v>0</v>
      </c>
    </row>
    <row r="111" spans="1:11">
      <c r="A111" s="137" t="s">
        <v>990</v>
      </c>
      <c r="B111" s="138" t="s">
        <v>1524</v>
      </c>
      <c r="C111" s="139">
        <v>119.3</v>
      </c>
      <c r="D111" s="139"/>
      <c r="E111" s="139"/>
      <c r="F111" s="140">
        <v>119.3</v>
      </c>
      <c r="G111" s="139">
        <v>19884</v>
      </c>
      <c r="H111" s="139" t="s">
        <v>1512</v>
      </c>
      <c r="I111" s="139">
        <v>6.0000000000000001E-3</v>
      </c>
      <c r="J111" s="156"/>
      <c r="K111" s="149">
        <v>2.0000000000000001E-4</v>
      </c>
    </row>
    <row r="112" spans="1:11">
      <c r="A112" s="137" t="s">
        <v>991</v>
      </c>
      <c r="B112" s="138" t="s">
        <v>1525</v>
      </c>
      <c r="C112" s="139">
        <v>39.770000000000003</v>
      </c>
      <c r="D112" s="139"/>
      <c r="E112" s="139"/>
      <c r="F112" s="140">
        <v>39.770000000000003</v>
      </c>
      <c r="G112" s="139">
        <v>19884</v>
      </c>
      <c r="H112" s="139" t="s">
        <v>1512</v>
      </c>
      <c r="I112" s="139">
        <v>2E-3</v>
      </c>
      <c r="J112" s="156"/>
      <c r="K112" s="149">
        <v>1E-4</v>
      </c>
    </row>
    <row r="113" spans="1:18">
      <c r="A113" s="134">
        <v>2.6</v>
      </c>
      <c r="B113" s="135" t="s">
        <v>1556</v>
      </c>
      <c r="C113" s="136">
        <v>6862.1</v>
      </c>
      <c r="D113" s="136">
        <v>0</v>
      </c>
      <c r="E113" s="136">
        <v>0</v>
      </c>
      <c r="F113" s="136">
        <v>6862.1</v>
      </c>
      <c r="G113" s="165">
        <v>12591</v>
      </c>
      <c r="H113" s="136" t="s">
        <v>1512</v>
      </c>
      <c r="I113" s="136">
        <v>0.54500000000000004</v>
      </c>
      <c r="J113" s="157"/>
      <c r="K113" s="154">
        <v>1.34E-2</v>
      </c>
    </row>
    <row r="114" spans="1:18">
      <c r="A114" s="137" t="s">
        <v>316</v>
      </c>
      <c r="B114" s="138" t="s">
        <v>1515</v>
      </c>
      <c r="C114" s="139">
        <v>62.96</v>
      </c>
      <c r="D114" s="139"/>
      <c r="E114" s="139"/>
      <c r="F114" s="140">
        <v>62.96</v>
      </c>
      <c r="G114" s="139">
        <v>12591</v>
      </c>
      <c r="H114" s="139" t="s">
        <v>1512</v>
      </c>
      <c r="I114" s="139">
        <v>5.0000000000000001E-3</v>
      </c>
      <c r="J114" s="156"/>
      <c r="K114" s="149">
        <v>1E-4</v>
      </c>
    </row>
    <row r="115" spans="1:18">
      <c r="A115" s="137" t="s">
        <v>317</v>
      </c>
      <c r="B115" s="138" t="s">
        <v>1516</v>
      </c>
      <c r="C115" s="139">
        <v>88.14</v>
      </c>
      <c r="D115" s="139"/>
      <c r="E115" s="139"/>
      <c r="F115" s="140">
        <v>88.14</v>
      </c>
      <c r="G115" s="139">
        <v>12591</v>
      </c>
      <c r="H115" s="139" t="s">
        <v>1512</v>
      </c>
      <c r="I115" s="139">
        <v>7.0000000000000001E-3</v>
      </c>
      <c r="J115" s="156"/>
      <c r="K115" s="149">
        <v>2.0000000000000001E-4</v>
      </c>
    </row>
    <row r="116" spans="1:18">
      <c r="A116" s="137" t="s">
        <v>318</v>
      </c>
      <c r="B116" s="138" t="s">
        <v>1517</v>
      </c>
      <c r="C116" s="139">
        <v>3147.75</v>
      </c>
      <c r="D116" s="139"/>
      <c r="E116" s="139"/>
      <c r="F116" s="140">
        <v>3147.75</v>
      </c>
      <c r="G116" s="139">
        <v>12591</v>
      </c>
      <c r="H116" s="139" t="s">
        <v>1512</v>
      </c>
      <c r="I116" s="139">
        <v>0.25</v>
      </c>
      <c r="J116" s="156"/>
      <c r="K116" s="149">
        <v>6.1000000000000004E-3</v>
      </c>
    </row>
    <row r="117" spans="1:18">
      <c r="A117" s="137" t="s">
        <v>319</v>
      </c>
      <c r="B117" s="138" t="s">
        <v>1518</v>
      </c>
      <c r="C117" s="139">
        <v>1888.65</v>
      </c>
      <c r="D117" s="139"/>
      <c r="E117" s="139"/>
      <c r="F117" s="140">
        <v>1888.65</v>
      </c>
      <c r="G117" s="139">
        <v>12591</v>
      </c>
      <c r="H117" s="139" t="s">
        <v>1512</v>
      </c>
      <c r="I117" s="139">
        <v>0.15</v>
      </c>
      <c r="J117" s="156"/>
      <c r="K117" s="149">
        <v>3.7000000000000002E-3</v>
      </c>
    </row>
    <row r="118" spans="1:18">
      <c r="A118" s="137" t="s">
        <v>320</v>
      </c>
      <c r="B118" s="138" t="s">
        <v>1519</v>
      </c>
      <c r="C118" s="139">
        <v>188.87</v>
      </c>
      <c r="D118" s="139"/>
      <c r="E118" s="139"/>
      <c r="F118" s="140">
        <v>188.87</v>
      </c>
      <c r="G118" s="139">
        <v>12591</v>
      </c>
      <c r="H118" s="139" t="s">
        <v>1512</v>
      </c>
      <c r="I118" s="139">
        <v>1.4999999999999999E-2</v>
      </c>
      <c r="J118" s="156"/>
      <c r="K118" s="149">
        <v>4.0000000000000002E-4</v>
      </c>
    </row>
    <row r="119" spans="1:18">
      <c r="A119" s="137" t="s">
        <v>321</v>
      </c>
      <c r="B119" s="138" t="s">
        <v>1520</v>
      </c>
      <c r="C119" s="139">
        <v>503.64</v>
      </c>
      <c r="D119" s="139"/>
      <c r="E119" s="139"/>
      <c r="F119" s="140">
        <v>503.64</v>
      </c>
      <c r="G119" s="139">
        <v>12591</v>
      </c>
      <c r="H119" s="139" t="s">
        <v>1512</v>
      </c>
      <c r="I119" s="139">
        <v>0.04</v>
      </c>
      <c r="J119" s="156"/>
      <c r="K119" s="149">
        <v>1E-3</v>
      </c>
    </row>
    <row r="120" spans="1:18">
      <c r="A120" s="137" t="s">
        <v>322</v>
      </c>
      <c r="B120" s="138" t="s">
        <v>1521</v>
      </c>
      <c r="C120" s="139">
        <v>881.37</v>
      </c>
      <c r="D120" s="139"/>
      <c r="E120" s="139"/>
      <c r="F120" s="140">
        <v>881.37</v>
      </c>
      <c r="G120" s="139">
        <v>12591</v>
      </c>
      <c r="H120" s="139" t="s">
        <v>1512</v>
      </c>
      <c r="I120" s="139">
        <v>7.0000000000000007E-2</v>
      </c>
      <c r="J120" s="156"/>
      <c r="K120" s="149">
        <v>1.6999999999999999E-3</v>
      </c>
    </row>
    <row r="121" spans="1:18">
      <c r="A121" s="137" t="s">
        <v>323</v>
      </c>
      <c r="B121" s="138" t="s">
        <v>1522</v>
      </c>
      <c r="C121" s="139"/>
      <c r="D121" s="139">
        <v>0</v>
      </c>
      <c r="E121" s="139"/>
      <c r="F121" s="140">
        <v>0</v>
      </c>
      <c r="G121" s="139">
        <v>0</v>
      </c>
      <c r="H121" s="139" t="s">
        <v>1523</v>
      </c>
      <c r="I121" s="139">
        <v>45</v>
      </c>
      <c r="J121" s="156"/>
      <c r="K121" s="149">
        <v>0</v>
      </c>
    </row>
    <row r="122" spans="1:18">
      <c r="A122" s="137" t="s">
        <v>994</v>
      </c>
      <c r="B122" s="138" t="s">
        <v>1524</v>
      </c>
      <c r="C122" s="139">
        <v>75.55</v>
      </c>
      <c r="D122" s="139"/>
      <c r="E122" s="139"/>
      <c r="F122" s="140">
        <v>75.55</v>
      </c>
      <c r="G122" s="139">
        <v>12591</v>
      </c>
      <c r="H122" s="139" t="s">
        <v>1512</v>
      </c>
      <c r="I122" s="139">
        <v>6.0000000000000001E-3</v>
      </c>
      <c r="J122" s="156"/>
      <c r="K122" s="149">
        <v>1E-4</v>
      </c>
    </row>
    <row r="123" spans="1:18">
      <c r="A123" s="137" t="s">
        <v>995</v>
      </c>
      <c r="B123" s="138" t="s">
        <v>1525</v>
      </c>
      <c r="C123" s="139">
        <v>25.18</v>
      </c>
      <c r="D123" s="139"/>
      <c r="E123" s="139"/>
      <c r="F123" s="140">
        <v>25.18</v>
      </c>
      <c r="G123" s="139">
        <v>12591</v>
      </c>
      <c r="H123" s="139" t="s">
        <v>1512</v>
      </c>
      <c r="I123" s="139">
        <v>2E-3</v>
      </c>
      <c r="J123" s="156"/>
      <c r="K123" s="149">
        <v>0</v>
      </c>
    </row>
    <row r="124" spans="1:18">
      <c r="A124" s="134">
        <v>2.7</v>
      </c>
      <c r="B124" s="135" t="s">
        <v>1557</v>
      </c>
      <c r="C124" s="136">
        <v>6862.1</v>
      </c>
      <c r="D124" s="136">
        <v>0</v>
      </c>
      <c r="E124" s="136">
        <v>0</v>
      </c>
      <c r="F124" s="136">
        <v>6862.1</v>
      </c>
      <c r="G124" s="165">
        <v>12591</v>
      </c>
      <c r="H124" s="136" t="s">
        <v>1512</v>
      </c>
      <c r="I124" s="136">
        <v>0.54500000000000004</v>
      </c>
      <c r="J124" s="157"/>
      <c r="K124" s="154">
        <v>1.34E-2</v>
      </c>
      <c r="L124" s="170" t="s">
        <v>1558</v>
      </c>
      <c r="M124" s="124">
        <f>F58+F69+F91+F102+F113+F124</f>
        <v>64307.509999999995</v>
      </c>
      <c r="N124" s="125" t="s">
        <v>1559</v>
      </c>
      <c r="Q124" s="122" t="s">
        <v>1204</v>
      </c>
      <c r="R124" s="122" t="s">
        <v>1560</v>
      </c>
    </row>
    <row r="125" spans="1:18">
      <c r="A125" s="137" t="s">
        <v>325</v>
      </c>
      <c r="B125" s="138" t="s">
        <v>1515</v>
      </c>
      <c r="C125" s="139">
        <v>62.96</v>
      </c>
      <c r="D125" s="139"/>
      <c r="E125" s="139"/>
      <c r="F125" s="140">
        <v>62.96</v>
      </c>
      <c r="G125" s="139">
        <v>12591</v>
      </c>
      <c r="H125" s="139" t="s">
        <v>1512</v>
      </c>
      <c r="I125" s="139">
        <v>5.0000000000000001E-3</v>
      </c>
      <c r="J125" s="156"/>
      <c r="K125" s="149">
        <v>1E-4</v>
      </c>
    </row>
    <row r="126" spans="1:18">
      <c r="A126" s="137" t="s">
        <v>326</v>
      </c>
      <c r="B126" s="138" t="s">
        <v>1516</v>
      </c>
      <c r="C126" s="139">
        <v>88.14</v>
      </c>
      <c r="D126" s="139"/>
      <c r="E126" s="139"/>
      <c r="F126" s="140">
        <v>88.14</v>
      </c>
      <c r="G126" s="139">
        <v>12591</v>
      </c>
      <c r="H126" s="139" t="s">
        <v>1512</v>
      </c>
      <c r="I126" s="139">
        <v>7.0000000000000001E-3</v>
      </c>
      <c r="J126" s="156"/>
      <c r="K126" s="149">
        <v>2.0000000000000001E-4</v>
      </c>
    </row>
    <row r="127" spans="1:18">
      <c r="A127" s="137" t="s">
        <v>327</v>
      </c>
      <c r="B127" s="138" t="s">
        <v>1517</v>
      </c>
      <c r="C127" s="139">
        <v>3147.75</v>
      </c>
      <c r="D127" s="139"/>
      <c r="E127" s="139"/>
      <c r="F127" s="140">
        <v>3147.75</v>
      </c>
      <c r="G127" s="139">
        <v>12591</v>
      </c>
      <c r="H127" s="139" t="s">
        <v>1512</v>
      </c>
      <c r="I127" s="139">
        <v>0.25</v>
      </c>
      <c r="J127" s="156"/>
      <c r="K127" s="149">
        <v>6.1000000000000004E-3</v>
      </c>
    </row>
    <row r="128" spans="1:18">
      <c r="A128" s="137" t="s">
        <v>328</v>
      </c>
      <c r="B128" s="138" t="s">
        <v>1518</v>
      </c>
      <c r="C128" s="139">
        <v>1888.65</v>
      </c>
      <c r="D128" s="139"/>
      <c r="E128" s="139"/>
      <c r="F128" s="140">
        <v>1888.65</v>
      </c>
      <c r="G128" s="139">
        <v>12591</v>
      </c>
      <c r="H128" s="139" t="s">
        <v>1512</v>
      </c>
      <c r="I128" s="139">
        <v>0.15</v>
      </c>
      <c r="J128" s="156"/>
      <c r="K128" s="149">
        <v>3.7000000000000002E-3</v>
      </c>
    </row>
    <row r="129" spans="1:11">
      <c r="A129" s="137" t="s">
        <v>329</v>
      </c>
      <c r="B129" s="138" t="s">
        <v>1519</v>
      </c>
      <c r="C129" s="139">
        <v>188.87</v>
      </c>
      <c r="D129" s="139"/>
      <c r="E129" s="139"/>
      <c r="F129" s="140">
        <v>188.87</v>
      </c>
      <c r="G129" s="139">
        <v>12591</v>
      </c>
      <c r="H129" s="139" t="s">
        <v>1512</v>
      </c>
      <c r="I129" s="139">
        <v>1.4999999999999999E-2</v>
      </c>
      <c r="J129" s="156"/>
      <c r="K129" s="149">
        <v>4.0000000000000002E-4</v>
      </c>
    </row>
    <row r="130" spans="1:11">
      <c r="A130" s="137" t="s">
        <v>330</v>
      </c>
      <c r="B130" s="138" t="s">
        <v>1520</v>
      </c>
      <c r="C130" s="139">
        <v>503.64</v>
      </c>
      <c r="D130" s="139"/>
      <c r="E130" s="139"/>
      <c r="F130" s="140">
        <v>503.64</v>
      </c>
      <c r="G130" s="139">
        <v>12591</v>
      </c>
      <c r="H130" s="139" t="s">
        <v>1512</v>
      </c>
      <c r="I130" s="139">
        <v>0.04</v>
      </c>
      <c r="J130" s="156"/>
      <c r="K130" s="149">
        <v>1E-3</v>
      </c>
    </row>
    <row r="131" spans="1:11">
      <c r="A131" s="137" t="s">
        <v>331</v>
      </c>
      <c r="B131" s="138" t="s">
        <v>1521</v>
      </c>
      <c r="C131" s="139">
        <v>881.37</v>
      </c>
      <c r="D131" s="139"/>
      <c r="E131" s="139"/>
      <c r="F131" s="140">
        <v>881.37</v>
      </c>
      <c r="G131" s="139">
        <v>12591</v>
      </c>
      <c r="H131" s="139" t="s">
        <v>1512</v>
      </c>
      <c r="I131" s="139">
        <v>7.0000000000000007E-2</v>
      </c>
      <c r="J131" s="156"/>
      <c r="K131" s="149">
        <v>1.6999999999999999E-3</v>
      </c>
    </row>
    <row r="132" spans="1:11">
      <c r="A132" s="137" t="s">
        <v>332</v>
      </c>
      <c r="B132" s="138" t="s">
        <v>1522</v>
      </c>
      <c r="C132" s="139"/>
      <c r="D132" s="139">
        <v>0</v>
      </c>
      <c r="E132" s="139"/>
      <c r="F132" s="140">
        <v>0</v>
      </c>
      <c r="G132" s="139">
        <v>0</v>
      </c>
      <c r="H132" s="139" t="s">
        <v>1523</v>
      </c>
      <c r="I132" s="139">
        <v>45</v>
      </c>
      <c r="J132" s="156"/>
      <c r="K132" s="149">
        <v>0</v>
      </c>
    </row>
    <row r="133" spans="1:11">
      <c r="A133" s="137" t="s">
        <v>998</v>
      </c>
      <c r="B133" s="138" t="s">
        <v>1524</v>
      </c>
      <c r="C133" s="139">
        <v>75.55</v>
      </c>
      <c r="D133" s="139"/>
      <c r="E133" s="139"/>
      <c r="F133" s="140">
        <v>75.55</v>
      </c>
      <c r="G133" s="139">
        <v>12591</v>
      </c>
      <c r="H133" s="139" t="s">
        <v>1512</v>
      </c>
      <c r="I133" s="139">
        <v>6.0000000000000001E-3</v>
      </c>
      <c r="J133" s="156"/>
      <c r="K133" s="149">
        <v>1E-4</v>
      </c>
    </row>
    <row r="134" spans="1:11">
      <c r="A134" s="137" t="s">
        <v>999</v>
      </c>
      <c r="B134" s="138" t="s">
        <v>1525</v>
      </c>
      <c r="C134" s="139">
        <v>25.18</v>
      </c>
      <c r="D134" s="139"/>
      <c r="E134" s="139"/>
      <c r="F134" s="140">
        <v>25.18</v>
      </c>
      <c r="G134" s="139">
        <v>12591</v>
      </c>
      <c r="H134" s="139" t="s">
        <v>1512</v>
      </c>
      <c r="I134" s="139">
        <v>2E-3</v>
      </c>
      <c r="J134" s="156"/>
      <c r="K134" s="149">
        <v>0</v>
      </c>
    </row>
    <row r="135" spans="1:11">
      <c r="A135" s="134">
        <v>2.8</v>
      </c>
      <c r="B135" s="135" t="s">
        <v>1561</v>
      </c>
      <c r="C135" s="136">
        <v>5399.86</v>
      </c>
      <c r="D135" s="136">
        <v>0</v>
      </c>
      <c r="E135" s="136">
        <v>0</v>
      </c>
      <c r="F135" s="136">
        <v>5399.86</v>
      </c>
      <c r="G135" s="165">
        <v>9908</v>
      </c>
      <c r="H135" s="136" t="s">
        <v>1512</v>
      </c>
      <c r="I135" s="136">
        <v>0.54500000000000004</v>
      </c>
      <c r="J135" s="157"/>
      <c r="K135" s="154">
        <v>1.0500000000000001E-2</v>
      </c>
    </row>
    <row r="136" spans="1:11">
      <c r="A136" s="137" t="s">
        <v>183</v>
      </c>
      <c r="B136" s="138" t="s">
        <v>1515</v>
      </c>
      <c r="C136" s="139">
        <v>49.54</v>
      </c>
      <c r="D136" s="139"/>
      <c r="E136" s="139"/>
      <c r="F136" s="140">
        <v>49.54</v>
      </c>
      <c r="G136" s="139">
        <v>9908</v>
      </c>
      <c r="H136" s="139" t="s">
        <v>1512</v>
      </c>
      <c r="I136" s="139">
        <v>5.0000000000000001E-3</v>
      </c>
      <c r="J136" s="156"/>
      <c r="K136" s="149">
        <v>1E-4</v>
      </c>
    </row>
    <row r="137" spans="1:11">
      <c r="A137" s="137" t="s">
        <v>184</v>
      </c>
      <c r="B137" s="138" t="s">
        <v>1516</v>
      </c>
      <c r="C137" s="139">
        <v>69.36</v>
      </c>
      <c r="D137" s="139"/>
      <c r="E137" s="139"/>
      <c r="F137" s="140">
        <v>69.36</v>
      </c>
      <c r="G137" s="139">
        <v>9908</v>
      </c>
      <c r="H137" s="139" t="s">
        <v>1512</v>
      </c>
      <c r="I137" s="139">
        <v>7.0000000000000001E-3</v>
      </c>
      <c r="J137" s="156"/>
      <c r="K137" s="149">
        <v>1E-4</v>
      </c>
    </row>
    <row r="138" spans="1:11">
      <c r="A138" s="137" t="s">
        <v>185</v>
      </c>
      <c r="B138" s="138" t="s">
        <v>1517</v>
      </c>
      <c r="C138" s="139">
        <v>2477</v>
      </c>
      <c r="D138" s="139"/>
      <c r="E138" s="139"/>
      <c r="F138" s="140">
        <v>2477</v>
      </c>
      <c r="G138" s="139">
        <v>9908</v>
      </c>
      <c r="H138" s="139" t="s">
        <v>1512</v>
      </c>
      <c r="I138" s="139">
        <v>0.25</v>
      </c>
      <c r="J138" s="156"/>
      <c r="K138" s="149">
        <v>4.7999999999999996E-3</v>
      </c>
    </row>
    <row r="139" spans="1:11">
      <c r="A139" s="137" t="s">
        <v>186</v>
      </c>
      <c r="B139" s="138" t="s">
        <v>1518</v>
      </c>
      <c r="C139" s="139">
        <v>1486.2</v>
      </c>
      <c r="D139" s="139"/>
      <c r="E139" s="139"/>
      <c r="F139" s="140">
        <v>1486.2</v>
      </c>
      <c r="G139" s="139">
        <v>9908</v>
      </c>
      <c r="H139" s="139" t="s">
        <v>1512</v>
      </c>
      <c r="I139" s="139">
        <v>0.15</v>
      </c>
      <c r="J139" s="156"/>
      <c r="K139" s="149">
        <v>2.8999999999999998E-3</v>
      </c>
    </row>
    <row r="140" spans="1:11">
      <c r="A140" s="137" t="s">
        <v>187</v>
      </c>
      <c r="B140" s="138" t="s">
        <v>1519</v>
      </c>
      <c r="C140" s="139">
        <v>148.62</v>
      </c>
      <c r="D140" s="139"/>
      <c r="E140" s="139"/>
      <c r="F140" s="140">
        <v>148.62</v>
      </c>
      <c r="G140" s="139">
        <v>9908</v>
      </c>
      <c r="H140" s="139" t="s">
        <v>1512</v>
      </c>
      <c r="I140" s="139">
        <v>1.4999999999999999E-2</v>
      </c>
      <c r="J140" s="156"/>
      <c r="K140" s="149">
        <v>2.9999999999999997E-4</v>
      </c>
    </row>
    <row r="141" spans="1:11">
      <c r="A141" s="137" t="s">
        <v>188</v>
      </c>
      <c r="B141" s="138" t="s">
        <v>1520</v>
      </c>
      <c r="C141" s="139">
        <v>396.32</v>
      </c>
      <c r="D141" s="139"/>
      <c r="E141" s="139"/>
      <c r="F141" s="140">
        <v>396.32</v>
      </c>
      <c r="G141" s="139">
        <v>9908</v>
      </c>
      <c r="H141" s="139" t="s">
        <v>1512</v>
      </c>
      <c r="I141" s="139">
        <v>0.04</v>
      </c>
      <c r="J141" s="156"/>
      <c r="K141" s="149">
        <v>8.0000000000000004E-4</v>
      </c>
    </row>
    <row r="142" spans="1:11">
      <c r="A142" s="137" t="s">
        <v>189</v>
      </c>
      <c r="B142" s="138" t="s">
        <v>1521</v>
      </c>
      <c r="C142" s="139">
        <v>693.56</v>
      </c>
      <c r="D142" s="139"/>
      <c r="E142" s="139"/>
      <c r="F142" s="140">
        <v>693.56</v>
      </c>
      <c r="G142" s="139">
        <v>9908</v>
      </c>
      <c r="H142" s="139" t="s">
        <v>1512</v>
      </c>
      <c r="I142" s="139">
        <v>7.0000000000000007E-2</v>
      </c>
      <c r="J142" s="156"/>
      <c r="K142" s="149">
        <v>1.4E-3</v>
      </c>
    </row>
    <row r="143" spans="1:11">
      <c r="A143" s="137" t="s">
        <v>190</v>
      </c>
      <c r="B143" s="138" t="s">
        <v>1522</v>
      </c>
      <c r="C143" s="139"/>
      <c r="D143" s="139">
        <v>0</v>
      </c>
      <c r="E143" s="139"/>
      <c r="F143" s="140">
        <v>0</v>
      </c>
      <c r="G143" s="139">
        <v>0</v>
      </c>
      <c r="H143" s="139" t="s">
        <v>1523</v>
      </c>
      <c r="I143" s="139">
        <v>45</v>
      </c>
      <c r="J143" s="156"/>
      <c r="K143" s="149">
        <v>0</v>
      </c>
    </row>
    <row r="144" spans="1:11">
      <c r="A144" s="137" t="s">
        <v>1002</v>
      </c>
      <c r="B144" s="138" t="s">
        <v>1524</v>
      </c>
      <c r="C144" s="139">
        <v>59.45</v>
      </c>
      <c r="D144" s="139"/>
      <c r="E144" s="139"/>
      <c r="F144" s="140">
        <v>59.45</v>
      </c>
      <c r="G144" s="139">
        <v>9908</v>
      </c>
      <c r="H144" s="139" t="s">
        <v>1512</v>
      </c>
      <c r="I144" s="139">
        <v>6.0000000000000001E-3</v>
      </c>
      <c r="J144" s="156"/>
      <c r="K144" s="149">
        <v>1E-4</v>
      </c>
    </row>
    <row r="145" spans="1:11">
      <c r="A145" s="137" t="s">
        <v>1003</v>
      </c>
      <c r="B145" s="138" t="s">
        <v>1525</v>
      </c>
      <c r="C145" s="139">
        <v>19.82</v>
      </c>
      <c r="D145" s="139"/>
      <c r="E145" s="139"/>
      <c r="F145" s="140">
        <v>19.82</v>
      </c>
      <c r="G145" s="139">
        <v>9908</v>
      </c>
      <c r="H145" s="139" t="s">
        <v>1512</v>
      </c>
      <c r="I145" s="139">
        <v>2E-3</v>
      </c>
      <c r="J145" s="156"/>
      <c r="K145" s="149">
        <v>0</v>
      </c>
    </row>
    <row r="146" spans="1:11">
      <c r="A146" s="134">
        <v>2.9</v>
      </c>
      <c r="B146" s="135" t="s">
        <v>1562</v>
      </c>
      <c r="C146" s="136">
        <v>6205.92</v>
      </c>
      <c r="D146" s="136">
        <v>0</v>
      </c>
      <c r="E146" s="136">
        <v>0</v>
      </c>
      <c r="F146" s="136">
        <v>6205.92</v>
      </c>
      <c r="G146" s="165">
        <v>11387</v>
      </c>
      <c r="H146" s="136" t="s">
        <v>1512</v>
      </c>
      <c r="I146" s="136">
        <v>0.54500000000000004</v>
      </c>
      <c r="J146" s="157"/>
      <c r="K146" s="154">
        <v>1.21E-2</v>
      </c>
    </row>
    <row r="147" spans="1:11">
      <c r="A147" s="137" t="s">
        <v>248</v>
      </c>
      <c r="B147" s="138" t="s">
        <v>1515</v>
      </c>
      <c r="C147" s="139">
        <v>56.94</v>
      </c>
      <c r="D147" s="139"/>
      <c r="E147" s="139"/>
      <c r="F147" s="140">
        <v>56.94</v>
      </c>
      <c r="G147" s="139">
        <v>11387</v>
      </c>
      <c r="H147" s="139" t="s">
        <v>1512</v>
      </c>
      <c r="I147" s="139">
        <v>5.0000000000000001E-3</v>
      </c>
      <c r="J147" s="156"/>
      <c r="K147" s="149">
        <v>1E-4</v>
      </c>
    </row>
    <row r="148" spans="1:11">
      <c r="A148" s="137" t="s">
        <v>249</v>
      </c>
      <c r="B148" s="138" t="s">
        <v>1516</v>
      </c>
      <c r="C148" s="139">
        <v>79.709999999999994</v>
      </c>
      <c r="D148" s="139"/>
      <c r="E148" s="139"/>
      <c r="F148" s="140">
        <v>79.709999999999994</v>
      </c>
      <c r="G148" s="139">
        <v>11387</v>
      </c>
      <c r="H148" s="139" t="s">
        <v>1512</v>
      </c>
      <c r="I148" s="139">
        <v>7.0000000000000001E-3</v>
      </c>
      <c r="J148" s="156"/>
      <c r="K148" s="149">
        <v>2.0000000000000001E-4</v>
      </c>
    </row>
    <row r="149" spans="1:11">
      <c r="A149" s="137" t="s">
        <v>250</v>
      </c>
      <c r="B149" s="138" t="s">
        <v>1517</v>
      </c>
      <c r="C149" s="139">
        <v>2846.75</v>
      </c>
      <c r="D149" s="139"/>
      <c r="E149" s="139"/>
      <c r="F149" s="140">
        <v>2846.75</v>
      </c>
      <c r="G149" s="139">
        <v>11387</v>
      </c>
      <c r="H149" s="139" t="s">
        <v>1512</v>
      </c>
      <c r="I149" s="139">
        <v>0.25</v>
      </c>
      <c r="J149" s="156"/>
      <c r="K149" s="149">
        <v>5.4999999999999997E-3</v>
      </c>
    </row>
    <row r="150" spans="1:11">
      <c r="A150" s="137" t="s">
        <v>251</v>
      </c>
      <c r="B150" s="138" t="s">
        <v>1518</v>
      </c>
      <c r="C150" s="139">
        <v>1708.05</v>
      </c>
      <c r="D150" s="139"/>
      <c r="E150" s="139"/>
      <c r="F150" s="140">
        <v>1708.05</v>
      </c>
      <c r="G150" s="139">
        <v>11387</v>
      </c>
      <c r="H150" s="139" t="s">
        <v>1512</v>
      </c>
      <c r="I150" s="139">
        <v>0.15</v>
      </c>
      <c r="J150" s="156"/>
      <c r="K150" s="149">
        <v>3.3E-3</v>
      </c>
    </row>
    <row r="151" spans="1:11">
      <c r="A151" s="137" t="s">
        <v>252</v>
      </c>
      <c r="B151" s="138" t="s">
        <v>1519</v>
      </c>
      <c r="C151" s="139">
        <v>170.81</v>
      </c>
      <c r="D151" s="139"/>
      <c r="E151" s="139"/>
      <c r="F151" s="140">
        <v>170.81</v>
      </c>
      <c r="G151" s="139">
        <v>11387</v>
      </c>
      <c r="H151" s="139" t="s">
        <v>1512</v>
      </c>
      <c r="I151" s="139">
        <v>1.4999999999999999E-2</v>
      </c>
      <c r="J151" s="156"/>
      <c r="K151" s="149">
        <v>2.9999999999999997E-4</v>
      </c>
    </row>
    <row r="152" spans="1:11">
      <c r="A152" s="137" t="s">
        <v>253</v>
      </c>
      <c r="B152" s="138" t="s">
        <v>1520</v>
      </c>
      <c r="C152" s="139">
        <v>455.48</v>
      </c>
      <c r="D152" s="139"/>
      <c r="E152" s="139"/>
      <c r="F152" s="140">
        <v>455.48</v>
      </c>
      <c r="G152" s="139">
        <v>11387</v>
      </c>
      <c r="H152" s="139" t="s">
        <v>1512</v>
      </c>
      <c r="I152" s="139">
        <v>0.04</v>
      </c>
      <c r="J152" s="156"/>
      <c r="K152" s="149">
        <v>8.9999999999999998E-4</v>
      </c>
    </row>
    <row r="153" spans="1:11">
      <c r="A153" s="137" t="s">
        <v>254</v>
      </c>
      <c r="B153" s="138" t="s">
        <v>1521</v>
      </c>
      <c r="C153" s="139">
        <v>797.09</v>
      </c>
      <c r="D153" s="139"/>
      <c r="E153" s="139"/>
      <c r="F153" s="140">
        <v>797.09</v>
      </c>
      <c r="G153" s="139">
        <v>11387</v>
      </c>
      <c r="H153" s="139" t="s">
        <v>1512</v>
      </c>
      <c r="I153" s="139">
        <v>7.0000000000000007E-2</v>
      </c>
      <c r="J153" s="156"/>
      <c r="K153" s="149">
        <v>1.6000000000000001E-3</v>
      </c>
    </row>
    <row r="154" spans="1:11">
      <c r="A154" s="137" t="s">
        <v>255</v>
      </c>
      <c r="B154" s="138" t="s">
        <v>1522</v>
      </c>
      <c r="C154" s="139"/>
      <c r="D154" s="139">
        <v>0</v>
      </c>
      <c r="E154" s="139"/>
      <c r="F154" s="140">
        <v>0</v>
      </c>
      <c r="G154" s="139">
        <v>0</v>
      </c>
      <c r="H154" s="139" t="s">
        <v>1523</v>
      </c>
      <c r="I154" s="139">
        <v>45</v>
      </c>
      <c r="J154" s="156"/>
      <c r="K154" s="149">
        <v>0</v>
      </c>
    </row>
    <row r="155" spans="1:11">
      <c r="A155" s="137" t="s">
        <v>1006</v>
      </c>
      <c r="B155" s="138" t="s">
        <v>1524</v>
      </c>
      <c r="C155" s="139">
        <v>68.319999999999993</v>
      </c>
      <c r="D155" s="139"/>
      <c r="E155" s="139"/>
      <c r="F155" s="140">
        <v>68.319999999999993</v>
      </c>
      <c r="G155" s="139">
        <v>11387</v>
      </c>
      <c r="H155" s="139" t="s">
        <v>1512</v>
      </c>
      <c r="I155" s="139">
        <v>6.0000000000000001E-3</v>
      </c>
      <c r="J155" s="156"/>
      <c r="K155" s="149">
        <v>1E-4</v>
      </c>
    </row>
    <row r="156" spans="1:11">
      <c r="A156" s="137" t="s">
        <v>1007</v>
      </c>
      <c r="B156" s="138" t="s">
        <v>1525</v>
      </c>
      <c r="C156" s="139">
        <v>22.77</v>
      </c>
      <c r="D156" s="139"/>
      <c r="E156" s="139"/>
      <c r="F156" s="140">
        <v>22.77</v>
      </c>
      <c r="G156" s="139">
        <v>11387</v>
      </c>
      <c r="H156" s="139" t="s">
        <v>1512</v>
      </c>
      <c r="I156" s="139">
        <v>2E-3</v>
      </c>
      <c r="J156" s="156"/>
      <c r="K156" s="149">
        <v>0</v>
      </c>
    </row>
    <row r="157" spans="1:11">
      <c r="A157" s="134">
        <v>2.1</v>
      </c>
      <c r="B157" s="135" t="s">
        <v>1563</v>
      </c>
      <c r="C157" s="136">
        <v>6205.92</v>
      </c>
      <c r="D157" s="136">
        <v>0</v>
      </c>
      <c r="E157" s="136">
        <v>0</v>
      </c>
      <c r="F157" s="136">
        <v>6205.92</v>
      </c>
      <c r="G157" s="165">
        <v>11387</v>
      </c>
      <c r="H157" s="136" t="s">
        <v>1512</v>
      </c>
      <c r="I157" s="136">
        <v>0.54500000000000004</v>
      </c>
      <c r="J157" s="157"/>
      <c r="K157" s="154">
        <v>1.21E-2</v>
      </c>
    </row>
    <row r="158" spans="1:11">
      <c r="A158" s="137" t="s">
        <v>230</v>
      </c>
      <c r="B158" s="138" t="s">
        <v>1515</v>
      </c>
      <c r="C158" s="139">
        <v>56.94</v>
      </c>
      <c r="D158" s="139"/>
      <c r="E158" s="139"/>
      <c r="F158" s="140">
        <v>56.94</v>
      </c>
      <c r="G158" s="139">
        <v>11387</v>
      </c>
      <c r="H158" s="139" t="s">
        <v>1512</v>
      </c>
      <c r="I158" s="139">
        <v>5.0000000000000001E-3</v>
      </c>
      <c r="J158" s="156"/>
      <c r="K158" s="149">
        <v>1E-4</v>
      </c>
    </row>
    <row r="159" spans="1:11">
      <c r="A159" s="137" t="s">
        <v>231</v>
      </c>
      <c r="B159" s="138" t="s">
        <v>1516</v>
      </c>
      <c r="C159" s="139">
        <v>79.709999999999994</v>
      </c>
      <c r="D159" s="139"/>
      <c r="E159" s="139"/>
      <c r="F159" s="140">
        <v>79.709999999999994</v>
      </c>
      <c r="G159" s="139">
        <v>11387</v>
      </c>
      <c r="H159" s="139" t="s">
        <v>1512</v>
      </c>
      <c r="I159" s="139">
        <v>7.0000000000000001E-3</v>
      </c>
      <c r="J159" s="156"/>
      <c r="K159" s="149">
        <v>2.0000000000000001E-4</v>
      </c>
    </row>
    <row r="160" spans="1:11">
      <c r="A160" s="137" t="s">
        <v>232</v>
      </c>
      <c r="B160" s="138" t="s">
        <v>1517</v>
      </c>
      <c r="C160" s="139">
        <v>2846.75</v>
      </c>
      <c r="D160" s="139"/>
      <c r="E160" s="139"/>
      <c r="F160" s="140">
        <v>2846.75</v>
      </c>
      <c r="G160" s="139">
        <v>11387</v>
      </c>
      <c r="H160" s="139" t="s">
        <v>1512</v>
      </c>
      <c r="I160" s="139">
        <v>0.25</v>
      </c>
      <c r="J160" s="156"/>
      <c r="K160" s="149">
        <v>5.4999999999999997E-3</v>
      </c>
    </row>
    <row r="161" spans="1:18">
      <c r="A161" s="137" t="s">
        <v>233</v>
      </c>
      <c r="B161" s="138" t="s">
        <v>1518</v>
      </c>
      <c r="C161" s="139">
        <v>1708.05</v>
      </c>
      <c r="D161" s="139"/>
      <c r="E161" s="139"/>
      <c r="F161" s="140">
        <v>1708.05</v>
      </c>
      <c r="G161" s="139">
        <v>11387</v>
      </c>
      <c r="H161" s="139" t="s">
        <v>1512</v>
      </c>
      <c r="I161" s="139">
        <v>0.15</v>
      </c>
      <c r="J161" s="156"/>
      <c r="K161" s="149">
        <v>3.3E-3</v>
      </c>
    </row>
    <row r="162" spans="1:18">
      <c r="A162" s="137" t="s">
        <v>234</v>
      </c>
      <c r="B162" s="138" t="s">
        <v>1519</v>
      </c>
      <c r="C162" s="139">
        <v>170.81</v>
      </c>
      <c r="D162" s="139"/>
      <c r="E162" s="139"/>
      <c r="F162" s="140">
        <v>170.81</v>
      </c>
      <c r="G162" s="139">
        <v>11387</v>
      </c>
      <c r="H162" s="139" t="s">
        <v>1512</v>
      </c>
      <c r="I162" s="139">
        <v>1.4999999999999999E-2</v>
      </c>
      <c r="J162" s="156"/>
      <c r="K162" s="149">
        <v>2.9999999999999997E-4</v>
      </c>
    </row>
    <row r="163" spans="1:18">
      <c r="A163" s="137" t="s">
        <v>235</v>
      </c>
      <c r="B163" s="138" t="s">
        <v>1520</v>
      </c>
      <c r="C163" s="139">
        <v>455.48</v>
      </c>
      <c r="D163" s="139"/>
      <c r="E163" s="139"/>
      <c r="F163" s="140">
        <v>455.48</v>
      </c>
      <c r="G163" s="139">
        <v>11387</v>
      </c>
      <c r="H163" s="139" t="s">
        <v>1512</v>
      </c>
      <c r="I163" s="139">
        <v>0.04</v>
      </c>
      <c r="J163" s="156"/>
      <c r="K163" s="149">
        <v>8.9999999999999998E-4</v>
      </c>
    </row>
    <row r="164" spans="1:18">
      <c r="A164" s="137" t="s">
        <v>236</v>
      </c>
      <c r="B164" s="138" t="s">
        <v>1521</v>
      </c>
      <c r="C164" s="139">
        <v>797.09</v>
      </c>
      <c r="D164" s="139"/>
      <c r="E164" s="139"/>
      <c r="F164" s="140">
        <v>797.09</v>
      </c>
      <c r="G164" s="139">
        <v>11387</v>
      </c>
      <c r="H164" s="139" t="s">
        <v>1512</v>
      </c>
      <c r="I164" s="139">
        <v>7.0000000000000007E-2</v>
      </c>
      <c r="J164" s="156"/>
      <c r="K164" s="149">
        <v>1.6000000000000001E-3</v>
      </c>
    </row>
    <row r="165" spans="1:18">
      <c r="A165" s="137" t="s">
        <v>237</v>
      </c>
      <c r="B165" s="138" t="s">
        <v>1522</v>
      </c>
      <c r="C165" s="139"/>
      <c r="D165" s="139">
        <v>0</v>
      </c>
      <c r="E165" s="139"/>
      <c r="F165" s="140">
        <v>0</v>
      </c>
      <c r="G165" s="139">
        <v>0</v>
      </c>
      <c r="H165" s="139" t="s">
        <v>1523</v>
      </c>
      <c r="I165" s="139">
        <v>45</v>
      </c>
      <c r="J165" s="156"/>
      <c r="K165" s="149">
        <v>0</v>
      </c>
    </row>
    <row r="166" spans="1:18">
      <c r="A166" s="137" t="s">
        <v>1010</v>
      </c>
      <c r="B166" s="138" t="s">
        <v>1524</v>
      </c>
      <c r="C166" s="139">
        <v>68.319999999999993</v>
      </c>
      <c r="D166" s="139"/>
      <c r="E166" s="139"/>
      <c r="F166" s="140">
        <v>68.319999999999993</v>
      </c>
      <c r="G166" s="139">
        <v>11387</v>
      </c>
      <c r="H166" s="139" t="s">
        <v>1512</v>
      </c>
      <c r="I166" s="139">
        <v>6.0000000000000001E-3</v>
      </c>
      <c r="J166" s="156"/>
      <c r="K166" s="149">
        <v>1E-4</v>
      </c>
    </row>
    <row r="167" spans="1:18">
      <c r="A167" s="137" t="s">
        <v>1011</v>
      </c>
      <c r="B167" s="138" t="s">
        <v>1525</v>
      </c>
      <c r="C167" s="139">
        <v>22.77</v>
      </c>
      <c r="D167" s="139"/>
      <c r="E167" s="139"/>
      <c r="F167" s="140">
        <v>22.77</v>
      </c>
      <c r="G167" s="139">
        <v>11387</v>
      </c>
      <c r="H167" s="139" t="s">
        <v>1512</v>
      </c>
      <c r="I167" s="139">
        <v>2E-3</v>
      </c>
      <c r="J167" s="156"/>
      <c r="K167" s="149">
        <v>0</v>
      </c>
    </row>
    <row r="168" spans="1:18">
      <c r="A168" s="158">
        <v>2.11</v>
      </c>
      <c r="B168" s="159" t="s">
        <v>1564</v>
      </c>
      <c r="C168" s="160">
        <v>6205.92</v>
      </c>
      <c r="D168" s="160">
        <v>0</v>
      </c>
      <c r="E168" s="160">
        <v>0</v>
      </c>
      <c r="F168" s="160">
        <v>6205.92</v>
      </c>
      <c r="G168" s="171">
        <v>11387</v>
      </c>
      <c r="H168" s="160" t="s">
        <v>1512</v>
      </c>
      <c r="I168" s="160">
        <v>0.54500000000000004</v>
      </c>
      <c r="J168" s="166"/>
      <c r="K168" s="167">
        <v>1.21E-2</v>
      </c>
      <c r="L168" s="144" t="s">
        <v>1565</v>
      </c>
      <c r="M168" s="144">
        <f>F135+F146+F157+F168</f>
        <v>24017.619999999995</v>
      </c>
      <c r="N168" s="145" t="s">
        <v>1566</v>
      </c>
      <c r="O168" s="144"/>
      <c r="P168" s="155"/>
      <c r="Q168" s="155" t="s">
        <v>837</v>
      </c>
      <c r="R168" s="155" t="s">
        <v>1560</v>
      </c>
    </row>
    <row r="169" spans="1:18">
      <c r="A169" s="161" t="s">
        <v>239</v>
      </c>
      <c r="B169" s="162" t="s">
        <v>1515</v>
      </c>
      <c r="C169" s="163">
        <v>56.94</v>
      </c>
      <c r="D169" s="163"/>
      <c r="E169" s="163"/>
      <c r="F169" s="164">
        <v>56.94</v>
      </c>
      <c r="G169" s="163">
        <v>11387</v>
      </c>
      <c r="H169" s="163" t="s">
        <v>1512</v>
      </c>
      <c r="I169" s="163">
        <v>5.0000000000000001E-3</v>
      </c>
      <c r="J169" s="168"/>
      <c r="K169" s="169">
        <v>1E-4</v>
      </c>
    </row>
    <row r="170" spans="1:18">
      <c r="A170" s="137" t="s">
        <v>240</v>
      </c>
      <c r="B170" s="138" t="s">
        <v>1516</v>
      </c>
      <c r="C170" s="139">
        <v>79.709999999999994</v>
      </c>
      <c r="D170" s="139"/>
      <c r="E170" s="139"/>
      <c r="F170" s="140">
        <v>79.709999999999994</v>
      </c>
      <c r="G170" s="139">
        <v>11387</v>
      </c>
      <c r="H170" s="139" t="s">
        <v>1512</v>
      </c>
      <c r="I170" s="139">
        <v>7.0000000000000001E-3</v>
      </c>
      <c r="J170" s="156"/>
      <c r="K170" s="149">
        <v>2.0000000000000001E-4</v>
      </c>
    </row>
    <row r="171" spans="1:18">
      <c r="A171" s="137" t="s">
        <v>241</v>
      </c>
      <c r="B171" s="138" t="s">
        <v>1517</v>
      </c>
      <c r="C171" s="139">
        <v>2846.75</v>
      </c>
      <c r="D171" s="139"/>
      <c r="E171" s="139"/>
      <c r="F171" s="140">
        <v>2846.75</v>
      </c>
      <c r="G171" s="139">
        <v>11387</v>
      </c>
      <c r="H171" s="139" t="s">
        <v>1512</v>
      </c>
      <c r="I171" s="139">
        <v>0.25</v>
      </c>
      <c r="J171" s="156"/>
      <c r="K171" s="149">
        <v>5.4999999999999997E-3</v>
      </c>
    </row>
    <row r="172" spans="1:18">
      <c r="A172" s="137" t="s">
        <v>242</v>
      </c>
      <c r="B172" s="138" t="s">
        <v>1518</v>
      </c>
      <c r="C172" s="139">
        <v>1708.05</v>
      </c>
      <c r="D172" s="139"/>
      <c r="E172" s="139"/>
      <c r="F172" s="140">
        <v>1708.05</v>
      </c>
      <c r="G172" s="139">
        <v>11387</v>
      </c>
      <c r="H172" s="139" t="s">
        <v>1512</v>
      </c>
      <c r="I172" s="139">
        <v>0.15</v>
      </c>
      <c r="J172" s="156"/>
      <c r="K172" s="149">
        <v>3.3E-3</v>
      </c>
    </row>
    <row r="173" spans="1:18">
      <c r="A173" s="137" t="s">
        <v>243</v>
      </c>
      <c r="B173" s="138" t="s">
        <v>1519</v>
      </c>
      <c r="C173" s="139">
        <v>170.81</v>
      </c>
      <c r="D173" s="139"/>
      <c r="E173" s="139"/>
      <c r="F173" s="140">
        <v>170.81</v>
      </c>
      <c r="G173" s="139">
        <v>11387</v>
      </c>
      <c r="H173" s="139" t="s">
        <v>1512</v>
      </c>
      <c r="I173" s="139">
        <v>1.4999999999999999E-2</v>
      </c>
      <c r="J173" s="156"/>
      <c r="K173" s="149">
        <v>2.9999999999999997E-4</v>
      </c>
    </row>
    <row r="174" spans="1:18">
      <c r="A174" s="137" t="s">
        <v>244</v>
      </c>
      <c r="B174" s="138" t="s">
        <v>1520</v>
      </c>
      <c r="C174" s="139">
        <v>455.48</v>
      </c>
      <c r="D174" s="139"/>
      <c r="E174" s="139"/>
      <c r="F174" s="140">
        <v>455.48</v>
      </c>
      <c r="G174" s="139">
        <v>11387</v>
      </c>
      <c r="H174" s="139" t="s">
        <v>1512</v>
      </c>
      <c r="I174" s="139">
        <v>0.04</v>
      </c>
      <c r="J174" s="156"/>
      <c r="K174" s="149">
        <v>8.9999999999999998E-4</v>
      </c>
    </row>
    <row r="175" spans="1:18">
      <c r="A175" s="137" t="s">
        <v>245</v>
      </c>
      <c r="B175" s="138" t="s">
        <v>1521</v>
      </c>
      <c r="C175" s="139">
        <v>797.09</v>
      </c>
      <c r="D175" s="139"/>
      <c r="E175" s="139"/>
      <c r="F175" s="140">
        <v>797.09</v>
      </c>
      <c r="G175" s="139">
        <v>11387</v>
      </c>
      <c r="H175" s="139" t="s">
        <v>1512</v>
      </c>
      <c r="I175" s="139">
        <v>7.0000000000000007E-2</v>
      </c>
      <c r="J175" s="156"/>
      <c r="K175" s="149">
        <v>1.6000000000000001E-3</v>
      </c>
    </row>
    <row r="176" spans="1:18">
      <c r="A176" s="137" t="s">
        <v>246</v>
      </c>
      <c r="B176" s="138" t="s">
        <v>1522</v>
      </c>
      <c r="C176" s="139"/>
      <c r="D176" s="139">
        <v>0</v>
      </c>
      <c r="E176" s="139"/>
      <c r="F176" s="140">
        <v>0</v>
      </c>
      <c r="G176" s="139">
        <v>0</v>
      </c>
      <c r="H176" s="139" t="s">
        <v>1523</v>
      </c>
      <c r="I176" s="139">
        <v>45</v>
      </c>
      <c r="J176" s="156"/>
      <c r="K176" s="149">
        <v>0</v>
      </c>
    </row>
    <row r="177" spans="1:18">
      <c r="A177" s="137" t="s">
        <v>1014</v>
      </c>
      <c r="B177" s="138" t="s">
        <v>1524</v>
      </c>
      <c r="C177" s="139">
        <v>68.319999999999993</v>
      </c>
      <c r="D177" s="139"/>
      <c r="E177" s="139"/>
      <c r="F177" s="140">
        <v>68.319999999999993</v>
      </c>
      <c r="G177" s="139">
        <v>11387</v>
      </c>
      <c r="H177" s="139" t="s">
        <v>1512</v>
      </c>
      <c r="I177" s="139">
        <v>6.0000000000000001E-3</v>
      </c>
      <c r="J177" s="156"/>
      <c r="K177" s="149">
        <v>1E-4</v>
      </c>
    </row>
    <row r="178" spans="1:18">
      <c r="A178" s="137" t="s">
        <v>1015</v>
      </c>
      <c r="B178" s="138" t="s">
        <v>1525</v>
      </c>
      <c r="C178" s="139">
        <v>22.77</v>
      </c>
      <c r="D178" s="139"/>
      <c r="E178" s="139"/>
      <c r="F178" s="140">
        <v>22.77</v>
      </c>
      <c r="G178" s="139">
        <v>11387</v>
      </c>
      <c r="H178" s="139" t="s">
        <v>1512</v>
      </c>
      <c r="I178" s="139">
        <v>2E-3</v>
      </c>
      <c r="J178" s="156"/>
      <c r="K178" s="149">
        <v>0</v>
      </c>
    </row>
    <row r="179" spans="1:18">
      <c r="A179" s="142">
        <v>3</v>
      </c>
      <c r="B179" s="143" t="s">
        <v>1567</v>
      </c>
      <c r="C179" s="133">
        <v>96421.65</v>
      </c>
      <c r="D179" s="133">
        <v>810</v>
      </c>
      <c r="E179" s="133">
        <v>0</v>
      </c>
      <c r="F179" s="133">
        <v>97231.65</v>
      </c>
      <c r="G179" s="133"/>
      <c r="H179" s="133"/>
      <c r="I179" s="133"/>
      <c r="J179" s="151"/>
      <c r="K179" s="152">
        <v>0.1895</v>
      </c>
      <c r="O179" s="150">
        <f>SUM(M180:M227)</f>
        <v>97231.65</v>
      </c>
    </row>
    <row r="180" spans="1:18">
      <c r="A180" s="134">
        <v>3.1</v>
      </c>
      <c r="B180" s="135" t="s">
        <v>1568</v>
      </c>
      <c r="C180" s="136">
        <v>59191.65</v>
      </c>
      <c r="D180" s="136">
        <v>360</v>
      </c>
      <c r="E180" s="136">
        <v>0</v>
      </c>
      <c r="F180" s="136">
        <v>59551.65</v>
      </c>
      <c r="G180" s="136"/>
      <c r="H180" s="136" t="s">
        <v>1512</v>
      </c>
      <c r="I180" s="136"/>
      <c r="J180" s="157"/>
      <c r="K180" s="154">
        <v>0.11600000000000001</v>
      </c>
      <c r="L180" s="144" t="s">
        <v>1569</v>
      </c>
      <c r="M180" s="144">
        <f>F180</f>
        <v>59551.65</v>
      </c>
      <c r="N180" s="145" t="s">
        <v>1570</v>
      </c>
      <c r="O180" s="144"/>
      <c r="P180" s="155"/>
      <c r="Q180" s="155" t="s">
        <v>853</v>
      </c>
      <c r="R180" s="155" t="s">
        <v>1571</v>
      </c>
    </row>
    <row r="181" spans="1:18">
      <c r="A181" s="172" t="s">
        <v>356</v>
      </c>
      <c r="B181" s="173" t="s">
        <v>1572</v>
      </c>
      <c r="C181" s="140">
        <v>38311.65</v>
      </c>
      <c r="D181" s="140">
        <v>360</v>
      </c>
      <c r="E181" s="140">
        <v>0</v>
      </c>
      <c r="F181" s="140">
        <v>38671.65</v>
      </c>
      <c r="G181" s="140">
        <v>57525</v>
      </c>
      <c r="H181" s="140" t="s">
        <v>1512</v>
      </c>
      <c r="I181" s="140">
        <v>0.67200000000000004</v>
      </c>
      <c r="J181" s="174"/>
      <c r="K181" s="149">
        <v>7.5399999999999995E-2</v>
      </c>
    </row>
    <row r="182" spans="1:18">
      <c r="A182" s="137" t="s">
        <v>1019</v>
      </c>
      <c r="B182" s="138" t="s">
        <v>1515</v>
      </c>
      <c r="C182" s="139">
        <v>287.63</v>
      </c>
      <c r="D182" s="139"/>
      <c r="E182" s="139"/>
      <c r="F182" s="140">
        <v>287.63</v>
      </c>
      <c r="G182" s="139">
        <v>57525</v>
      </c>
      <c r="H182" s="139" t="s">
        <v>1512</v>
      </c>
      <c r="I182" s="139">
        <v>5.0000000000000001E-3</v>
      </c>
      <c r="J182" s="156"/>
      <c r="K182" s="149">
        <v>5.9999999999999995E-4</v>
      </c>
    </row>
    <row r="183" spans="1:18">
      <c r="A183" s="137" t="s">
        <v>1020</v>
      </c>
      <c r="B183" s="138" t="s">
        <v>1516</v>
      </c>
      <c r="C183" s="139">
        <v>8053.5</v>
      </c>
      <c r="D183" s="139"/>
      <c r="E183" s="139"/>
      <c r="F183" s="140">
        <v>8053.5</v>
      </c>
      <c r="G183" s="139">
        <v>57525</v>
      </c>
      <c r="H183" s="139" t="s">
        <v>1512</v>
      </c>
      <c r="I183" s="139">
        <v>0.14000000000000001</v>
      </c>
      <c r="J183" s="156"/>
      <c r="K183" s="149">
        <v>1.5699999999999999E-2</v>
      </c>
    </row>
    <row r="184" spans="1:18">
      <c r="A184" s="137" t="s">
        <v>1021</v>
      </c>
      <c r="B184" s="138" t="s">
        <v>1517</v>
      </c>
      <c r="C184" s="139">
        <v>14381.25</v>
      </c>
      <c r="D184" s="139"/>
      <c r="E184" s="139"/>
      <c r="F184" s="140">
        <v>14381.25</v>
      </c>
      <c r="G184" s="139">
        <v>57525</v>
      </c>
      <c r="H184" s="139" t="s">
        <v>1512</v>
      </c>
      <c r="I184" s="139">
        <v>0.25</v>
      </c>
      <c r="J184" s="156"/>
      <c r="K184" s="149">
        <v>2.8000000000000001E-2</v>
      </c>
    </row>
    <row r="185" spans="1:18">
      <c r="A185" s="137" t="s">
        <v>1022</v>
      </c>
      <c r="B185" s="138" t="s">
        <v>1518</v>
      </c>
      <c r="C185" s="139">
        <v>8628.75</v>
      </c>
      <c r="D185" s="139"/>
      <c r="E185" s="139"/>
      <c r="F185" s="140">
        <v>8628.75</v>
      </c>
      <c r="G185" s="139">
        <v>57525</v>
      </c>
      <c r="H185" s="139" t="s">
        <v>1512</v>
      </c>
      <c r="I185" s="139">
        <v>0.15</v>
      </c>
      <c r="J185" s="156"/>
      <c r="K185" s="149">
        <v>1.6799999999999999E-2</v>
      </c>
    </row>
    <row r="186" spans="1:18">
      <c r="A186" s="137" t="s">
        <v>1023</v>
      </c>
      <c r="B186" s="138" t="s">
        <v>1519</v>
      </c>
      <c r="C186" s="139">
        <v>747.83</v>
      </c>
      <c r="D186" s="139"/>
      <c r="E186" s="139"/>
      <c r="F186" s="140">
        <v>747.83</v>
      </c>
      <c r="G186" s="139">
        <v>57525</v>
      </c>
      <c r="H186" s="139" t="s">
        <v>1512</v>
      </c>
      <c r="I186" s="139">
        <v>1.2999999999999999E-2</v>
      </c>
      <c r="J186" s="156"/>
      <c r="K186" s="149">
        <v>1.5E-3</v>
      </c>
    </row>
    <row r="187" spans="1:18">
      <c r="A187" s="137" t="s">
        <v>1024</v>
      </c>
      <c r="B187" s="138" t="s">
        <v>1520</v>
      </c>
      <c r="C187" s="139">
        <v>2301</v>
      </c>
      <c r="D187" s="139"/>
      <c r="E187" s="139"/>
      <c r="F187" s="140">
        <v>2301</v>
      </c>
      <c r="G187" s="139">
        <v>57525</v>
      </c>
      <c r="H187" s="139" t="s">
        <v>1512</v>
      </c>
      <c r="I187" s="139">
        <v>0.04</v>
      </c>
      <c r="J187" s="156"/>
      <c r="K187" s="149">
        <v>4.4999999999999997E-3</v>
      </c>
    </row>
    <row r="188" spans="1:18">
      <c r="A188" s="137" t="s">
        <v>1025</v>
      </c>
      <c r="B188" s="138" t="s">
        <v>1521</v>
      </c>
      <c r="C188" s="139">
        <v>3451.5</v>
      </c>
      <c r="D188" s="139"/>
      <c r="E188" s="139"/>
      <c r="F188" s="140">
        <v>3451.5</v>
      </c>
      <c r="G188" s="139">
        <v>57525</v>
      </c>
      <c r="H188" s="139" t="s">
        <v>1512</v>
      </c>
      <c r="I188" s="139">
        <v>0.06</v>
      </c>
      <c r="J188" s="156"/>
      <c r="K188" s="149">
        <v>6.7000000000000002E-3</v>
      </c>
    </row>
    <row r="189" spans="1:18">
      <c r="A189" s="137" t="s">
        <v>1026</v>
      </c>
      <c r="B189" s="138" t="s">
        <v>1522</v>
      </c>
      <c r="C189" s="139"/>
      <c r="D189" s="139">
        <v>360</v>
      </c>
      <c r="E189" s="139"/>
      <c r="F189" s="140">
        <v>360</v>
      </c>
      <c r="G189" s="139">
        <v>8</v>
      </c>
      <c r="H189" s="139" t="s">
        <v>1523</v>
      </c>
      <c r="I189" s="139">
        <v>45</v>
      </c>
      <c r="J189" s="156"/>
      <c r="K189" s="149">
        <v>6.9999999999999999E-4</v>
      </c>
    </row>
    <row r="190" spans="1:18">
      <c r="A190" s="137" t="s">
        <v>1027</v>
      </c>
      <c r="B190" s="138" t="s">
        <v>1524</v>
      </c>
      <c r="C190" s="139">
        <v>345.15</v>
      </c>
      <c r="D190" s="139"/>
      <c r="E190" s="139"/>
      <c r="F190" s="140">
        <v>345.15</v>
      </c>
      <c r="G190" s="139">
        <v>57525</v>
      </c>
      <c r="H190" s="139" t="s">
        <v>1512</v>
      </c>
      <c r="I190" s="139">
        <v>6.0000000000000001E-3</v>
      </c>
      <c r="J190" s="156"/>
      <c r="K190" s="149">
        <v>6.9999999999999999E-4</v>
      </c>
    </row>
    <row r="191" spans="1:18">
      <c r="A191" s="137" t="s">
        <v>1028</v>
      </c>
      <c r="B191" s="138" t="s">
        <v>1525</v>
      </c>
      <c r="C191" s="139">
        <v>115.05</v>
      </c>
      <c r="D191" s="139"/>
      <c r="E191" s="139"/>
      <c r="F191" s="140">
        <v>115.05</v>
      </c>
      <c r="G191" s="139">
        <v>57525</v>
      </c>
      <c r="H191" s="139" t="s">
        <v>1512</v>
      </c>
      <c r="I191" s="139">
        <v>2E-3</v>
      </c>
      <c r="J191" s="156"/>
      <c r="K191" s="149">
        <v>2.0000000000000001E-4</v>
      </c>
    </row>
    <row r="192" spans="1:18">
      <c r="A192" s="172" t="s">
        <v>357</v>
      </c>
      <c r="B192" s="173" t="s">
        <v>1573</v>
      </c>
      <c r="C192" s="140">
        <v>20880</v>
      </c>
      <c r="D192" s="140">
        <v>0</v>
      </c>
      <c r="E192" s="140">
        <v>0</v>
      </c>
      <c r="F192" s="140">
        <v>20880</v>
      </c>
      <c r="G192" s="140">
        <v>30000</v>
      </c>
      <c r="H192" s="140" t="s">
        <v>1512</v>
      </c>
      <c r="I192" s="140">
        <v>0.69599999999999995</v>
      </c>
      <c r="J192" s="174"/>
      <c r="K192" s="149">
        <v>4.07E-2</v>
      </c>
    </row>
    <row r="193" spans="1:19">
      <c r="A193" s="137" t="s">
        <v>1031</v>
      </c>
      <c r="B193" s="138" t="s">
        <v>1515</v>
      </c>
      <c r="C193" s="139">
        <v>150</v>
      </c>
      <c r="D193" s="139"/>
      <c r="E193" s="139"/>
      <c r="F193" s="140">
        <v>150</v>
      </c>
      <c r="G193" s="139">
        <v>30000</v>
      </c>
      <c r="H193" s="139" t="s">
        <v>1512</v>
      </c>
      <c r="I193" s="139">
        <v>5.0000000000000001E-3</v>
      </c>
      <c r="J193" s="156"/>
      <c r="K193" s="149">
        <v>2.9999999999999997E-4</v>
      </c>
    </row>
    <row r="194" spans="1:19">
      <c r="A194" s="137" t="s">
        <v>1032</v>
      </c>
      <c r="B194" s="138" t="s">
        <v>1516</v>
      </c>
      <c r="C194" s="139">
        <v>4200</v>
      </c>
      <c r="D194" s="139"/>
      <c r="E194" s="139"/>
      <c r="F194" s="140">
        <v>4200</v>
      </c>
      <c r="G194" s="139">
        <v>30000</v>
      </c>
      <c r="H194" s="139" t="s">
        <v>1512</v>
      </c>
      <c r="I194" s="139">
        <v>0.14000000000000001</v>
      </c>
      <c r="J194" s="156"/>
      <c r="K194" s="149">
        <v>8.2000000000000007E-3</v>
      </c>
    </row>
    <row r="195" spans="1:19">
      <c r="A195" s="137" t="s">
        <v>1033</v>
      </c>
      <c r="B195" s="138" t="s">
        <v>1517</v>
      </c>
      <c r="C195" s="139">
        <v>7500</v>
      </c>
      <c r="D195" s="139"/>
      <c r="E195" s="139"/>
      <c r="F195" s="140">
        <v>7500</v>
      </c>
      <c r="G195" s="139">
        <v>30000</v>
      </c>
      <c r="H195" s="139" t="s">
        <v>1512</v>
      </c>
      <c r="I195" s="139">
        <v>0.25</v>
      </c>
      <c r="J195" s="156"/>
      <c r="K195" s="149">
        <v>1.46E-2</v>
      </c>
    </row>
    <row r="196" spans="1:19">
      <c r="A196" s="137" t="s">
        <v>1034</v>
      </c>
      <c r="B196" s="138" t="s">
        <v>1518</v>
      </c>
      <c r="C196" s="139">
        <v>4500</v>
      </c>
      <c r="D196" s="139"/>
      <c r="E196" s="139"/>
      <c r="F196" s="140">
        <v>4500</v>
      </c>
      <c r="G196" s="139">
        <v>30000</v>
      </c>
      <c r="H196" s="139" t="s">
        <v>1512</v>
      </c>
      <c r="I196" s="139">
        <v>0.15</v>
      </c>
      <c r="J196" s="156"/>
      <c r="K196" s="149">
        <v>8.8000000000000005E-3</v>
      </c>
    </row>
    <row r="197" spans="1:19">
      <c r="A197" s="137" t="s">
        <v>1035</v>
      </c>
      <c r="B197" s="138" t="s">
        <v>1519</v>
      </c>
      <c r="C197" s="139">
        <v>390</v>
      </c>
      <c r="D197" s="139"/>
      <c r="E197" s="139"/>
      <c r="F197" s="140">
        <v>390</v>
      </c>
      <c r="G197" s="139">
        <v>30000</v>
      </c>
      <c r="H197" s="139" t="s">
        <v>1512</v>
      </c>
      <c r="I197" s="139">
        <v>1.2999999999999999E-2</v>
      </c>
      <c r="J197" s="156"/>
      <c r="K197" s="149">
        <v>8.0000000000000004E-4</v>
      </c>
    </row>
    <row r="198" spans="1:19">
      <c r="A198" s="137" t="s">
        <v>1036</v>
      </c>
      <c r="B198" s="138" t="s">
        <v>1520</v>
      </c>
      <c r="C198" s="139">
        <v>1500</v>
      </c>
      <c r="D198" s="139"/>
      <c r="E198" s="139"/>
      <c r="F198" s="140">
        <v>1500</v>
      </c>
      <c r="G198" s="139">
        <v>30000</v>
      </c>
      <c r="H198" s="139" t="s">
        <v>1512</v>
      </c>
      <c r="I198" s="139">
        <v>0.05</v>
      </c>
      <c r="J198" s="156"/>
      <c r="K198" s="149">
        <v>2.8999999999999998E-3</v>
      </c>
    </row>
    <row r="199" spans="1:19">
      <c r="A199" s="137" t="s">
        <v>1037</v>
      </c>
      <c r="B199" s="138" t="s">
        <v>1521</v>
      </c>
      <c r="C199" s="139">
        <v>1800</v>
      </c>
      <c r="D199" s="139"/>
      <c r="E199" s="139"/>
      <c r="F199" s="140">
        <v>1800</v>
      </c>
      <c r="G199" s="139">
        <v>30000</v>
      </c>
      <c r="H199" s="139" t="s">
        <v>1512</v>
      </c>
      <c r="I199" s="139">
        <v>0.06</v>
      </c>
      <c r="J199" s="156"/>
      <c r="K199" s="149">
        <v>3.5000000000000001E-3</v>
      </c>
    </row>
    <row r="200" spans="1:19">
      <c r="A200" s="137" t="s">
        <v>1038</v>
      </c>
      <c r="B200" s="138" t="s">
        <v>1522</v>
      </c>
      <c r="C200" s="139"/>
      <c r="D200" s="139">
        <v>0</v>
      </c>
      <c r="E200" s="139"/>
      <c r="F200" s="140">
        <v>0</v>
      </c>
      <c r="G200" s="139">
        <v>0</v>
      </c>
      <c r="H200" s="139" t="s">
        <v>1523</v>
      </c>
      <c r="I200" s="139">
        <v>45</v>
      </c>
      <c r="J200" s="156"/>
      <c r="K200" s="149">
        <v>0</v>
      </c>
    </row>
    <row r="201" spans="1:19">
      <c r="A201" s="137" t="s">
        <v>1039</v>
      </c>
      <c r="B201" s="138" t="s">
        <v>1574</v>
      </c>
      <c r="C201" s="139">
        <v>600</v>
      </c>
      <c r="D201" s="139"/>
      <c r="E201" s="139"/>
      <c r="F201" s="140"/>
      <c r="G201" s="139">
        <v>15000</v>
      </c>
      <c r="H201" s="139" t="s">
        <v>1512</v>
      </c>
      <c r="I201" s="139">
        <v>0.04</v>
      </c>
      <c r="J201" s="156"/>
      <c r="K201" s="140"/>
    </row>
    <row r="202" spans="1:19">
      <c r="A202" s="137" t="s">
        <v>1041</v>
      </c>
      <c r="B202" s="138" t="s">
        <v>1524</v>
      </c>
      <c r="C202" s="139">
        <v>180</v>
      </c>
      <c r="D202" s="139"/>
      <c r="E202" s="139"/>
      <c r="F202" s="140">
        <v>180</v>
      </c>
      <c r="G202" s="139">
        <v>30000</v>
      </c>
      <c r="H202" s="139" t="s">
        <v>1512</v>
      </c>
      <c r="I202" s="139">
        <v>6.0000000000000001E-3</v>
      </c>
      <c r="J202" s="156"/>
      <c r="K202" s="149">
        <v>4.0000000000000002E-4</v>
      </c>
    </row>
    <row r="203" spans="1:19">
      <c r="A203" s="137" t="s">
        <v>1042</v>
      </c>
      <c r="B203" s="138" t="s">
        <v>1525</v>
      </c>
      <c r="C203" s="139">
        <v>60</v>
      </c>
      <c r="D203" s="139"/>
      <c r="E203" s="139"/>
      <c r="F203" s="140">
        <v>60</v>
      </c>
      <c r="G203" s="139">
        <v>30000</v>
      </c>
      <c r="H203" s="139" t="s">
        <v>1512</v>
      </c>
      <c r="I203" s="139">
        <v>2E-3</v>
      </c>
      <c r="J203" s="156"/>
      <c r="K203" s="149">
        <v>1E-4</v>
      </c>
    </row>
    <row r="204" spans="1:19">
      <c r="A204" s="134">
        <v>3.2</v>
      </c>
      <c r="B204" s="135" t="s">
        <v>1575</v>
      </c>
      <c r="C204" s="136">
        <v>37230</v>
      </c>
      <c r="D204" s="136">
        <v>450</v>
      </c>
      <c r="E204" s="136">
        <v>0</v>
      </c>
      <c r="F204" s="136">
        <v>37680</v>
      </c>
      <c r="G204" s="136"/>
      <c r="H204" s="136" t="s">
        <v>1512</v>
      </c>
      <c r="I204" s="136"/>
      <c r="J204" s="157"/>
      <c r="K204" s="154">
        <v>7.3400000000000007E-2</v>
      </c>
      <c r="L204" s="144" t="s">
        <v>1576</v>
      </c>
      <c r="M204" s="144">
        <f>F204</f>
        <v>37680</v>
      </c>
      <c r="N204" s="145" t="s">
        <v>1577</v>
      </c>
      <c r="O204" s="144"/>
      <c r="P204" s="155"/>
      <c r="Q204" s="155" t="s">
        <v>834</v>
      </c>
      <c r="R204" s="155" t="s">
        <v>1571</v>
      </c>
      <c r="S204" s="23" t="s">
        <v>1578</v>
      </c>
    </row>
    <row r="205" spans="1:19">
      <c r="A205" s="172" t="s">
        <v>345</v>
      </c>
      <c r="B205" s="173" t="s">
        <v>1572</v>
      </c>
      <c r="C205" s="140">
        <v>23310</v>
      </c>
      <c r="D205" s="140">
        <v>450</v>
      </c>
      <c r="E205" s="140">
        <v>0</v>
      </c>
      <c r="F205" s="140">
        <v>23760</v>
      </c>
      <c r="G205" s="140">
        <v>35000</v>
      </c>
      <c r="H205" s="140" t="s">
        <v>1512</v>
      </c>
      <c r="I205" s="140">
        <v>0.67900000000000005</v>
      </c>
      <c r="J205" s="174"/>
      <c r="K205" s="149">
        <v>4.6300000000000001E-2</v>
      </c>
    </row>
    <row r="206" spans="1:19">
      <c r="A206" s="137" t="s">
        <v>1044</v>
      </c>
      <c r="B206" s="138" t="s">
        <v>1515</v>
      </c>
      <c r="C206" s="139">
        <v>175</v>
      </c>
      <c r="D206" s="139"/>
      <c r="E206" s="139"/>
      <c r="F206" s="140">
        <v>175</v>
      </c>
      <c r="G206" s="139">
        <v>35000</v>
      </c>
      <c r="H206" s="139" t="s">
        <v>1512</v>
      </c>
      <c r="I206" s="139">
        <v>5.0000000000000001E-3</v>
      </c>
      <c r="J206" s="156"/>
      <c r="K206" s="149">
        <v>2.9999999999999997E-4</v>
      </c>
    </row>
    <row r="207" spans="1:19">
      <c r="A207" s="137" t="s">
        <v>1045</v>
      </c>
      <c r="B207" s="138" t="s">
        <v>1516</v>
      </c>
      <c r="C207" s="139">
        <v>4900</v>
      </c>
      <c r="D207" s="139"/>
      <c r="E207" s="139"/>
      <c r="F207" s="140">
        <v>4900</v>
      </c>
      <c r="G207" s="139">
        <v>35000</v>
      </c>
      <c r="H207" s="139" t="s">
        <v>1512</v>
      </c>
      <c r="I207" s="139">
        <v>0.14000000000000001</v>
      </c>
      <c r="J207" s="156"/>
      <c r="K207" s="149">
        <v>9.4999999999999998E-3</v>
      </c>
    </row>
    <row r="208" spans="1:19">
      <c r="A208" s="137" t="s">
        <v>1046</v>
      </c>
      <c r="B208" s="138" t="s">
        <v>1517</v>
      </c>
      <c r="C208" s="139">
        <v>8750</v>
      </c>
      <c r="D208" s="139"/>
      <c r="E208" s="139"/>
      <c r="F208" s="140">
        <v>8750</v>
      </c>
      <c r="G208" s="139">
        <v>35000</v>
      </c>
      <c r="H208" s="139" t="s">
        <v>1512</v>
      </c>
      <c r="I208" s="139">
        <v>0.25</v>
      </c>
      <c r="J208" s="156"/>
      <c r="K208" s="149">
        <v>1.7100000000000001E-2</v>
      </c>
    </row>
    <row r="209" spans="1:11">
      <c r="A209" s="137" t="s">
        <v>1047</v>
      </c>
      <c r="B209" s="138" t="s">
        <v>1518</v>
      </c>
      <c r="C209" s="139">
        <v>5250</v>
      </c>
      <c r="D209" s="139"/>
      <c r="E209" s="139"/>
      <c r="F209" s="140">
        <v>5250</v>
      </c>
      <c r="G209" s="139">
        <v>35000</v>
      </c>
      <c r="H209" s="139" t="s">
        <v>1512</v>
      </c>
      <c r="I209" s="139">
        <v>0.15</v>
      </c>
      <c r="J209" s="156"/>
      <c r="K209" s="149">
        <v>1.0200000000000001E-2</v>
      </c>
    </row>
    <row r="210" spans="1:11">
      <c r="A210" s="137" t="s">
        <v>1048</v>
      </c>
      <c r="B210" s="138" t="s">
        <v>1519</v>
      </c>
      <c r="C210" s="139">
        <v>455</v>
      </c>
      <c r="D210" s="139"/>
      <c r="E210" s="139"/>
      <c r="F210" s="140">
        <v>455</v>
      </c>
      <c r="G210" s="139">
        <v>35000</v>
      </c>
      <c r="H210" s="139" t="s">
        <v>1512</v>
      </c>
      <c r="I210" s="139">
        <v>1.2999999999999999E-2</v>
      </c>
      <c r="J210" s="156"/>
      <c r="K210" s="149">
        <v>8.9999999999999998E-4</v>
      </c>
    </row>
    <row r="211" spans="1:11">
      <c r="A211" s="137" t="s">
        <v>1049</v>
      </c>
      <c r="B211" s="138" t="s">
        <v>1520</v>
      </c>
      <c r="C211" s="139">
        <v>1400</v>
      </c>
      <c r="D211" s="139"/>
      <c r="E211" s="139"/>
      <c r="F211" s="140">
        <v>1400</v>
      </c>
      <c r="G211" s="139">
        <v>35000</v>
      </c>
      <c r="H211" s="139" t="s">
        <v>1512</v>
      </c>
      <c r="I211" s="139">
        <v>0.04</v>
      </c>
      <c r="J211" s="156"/>
      <c r="K211" s="149">
        <v>2.7000000000000001E-3</v>
      </c>
    </row>
    <row r="212" spans="1:11">
      <c r="A212" s="137" t="s">
        <v>1050</v>
      </c>
      <c r="B212" s="138" t="s">
        <v>1521</v>
      </c>
      <c r="C212" s="139">
        <v>2100</v>
      </c>
      <c r="D212" s="139"/>
      <c r="E212" s="139"/>
      <c r="F212" s="140">
        <v>2100</v>
      </c>
      <c r="G212" s="139">
        <v>35000</v>
      </c>
      <c r="H212" s="139" t="s">
        <v>1512</v>
      </c>
      <c r="I212" s="139">
        <v>0.06</v>
      </c>
      <c r="J212" s="156"/>
      <c r="K212" s="149">
        <v>4.1000000000000003E-3</v>
      </c>
    </row>
    <row r="213" spans="1:11">
      <c r="A213" s="137" t="s">
        <v>1051</v>
      </c>
      <c r="B213" s="138" t="s">
        <v>1522</v>
      </c>
      <c r="C213" s="139"/>
      <c r="D213" s="139">
        <v>450</v>
      </c>
      <c r="E213" s="139"/>
      <c r="F213" s="140">
        <v>450</v>
      </c>
      <c r="G213" s="139">
        <v>10</v>
      </c>
      <c r="H213" s="139" t="s">
        <v>1523</v>
      </c>
      <c r="I213" s="139">
        <v>45</v>
      </c>
      <c r="J213" s="156"/>
      <c r="K213" s="149">
        <v>8.9999999999999998E-4</v>
      </c>
    </row>
    <row r="214" spans="1:11">
      <c r="A214" s="137" t="s">
        <v>1052</v>
      </c>
      <c r="B214" s="138" t="s">
        <v>1524</v>
      </c>
      <c r="C214" s="139">
        <v>210</v>
      </c>
      <c r="D214" s="139"/>
      <c r="E214" s="139"/>
      <c r="F214" s="140">
        <v>210</v>
      </c>
      <c r="G214" s="139">
        <v>35000</v>
      </c>
      <c r="H214" s="139" t="s">
        <v>1512</v>
      </c>
      <c r="I214" s="139">
        <v>6.0000000000000001E-3</v>
      </c>
      <c r="J214" s="156"/>
      <c r="K214" s="149">
        <v>4.0000000000000002E-4</v>
      </c>
    </row>
    <row r="215" spans="1:11">
      <c r="A215" s="137" t="s">
        <v>1053</v>
      </c>
      <c r="B215" s="138" t="s">
        <v>1525</v>
      </c>
      <c r="C215" s="139">
        <v>70</v>
      </c>
      <c r="D215" s="139"/>
      <c r="E215" s="139"/>
      <c r="F215" s="140">
        <v>70</v>
      </c>
      <c r="G215" s="139">
        <v>35000</v>
      </c>
      <c r="H215" s="139" t="s">
        <v>1512</v>
      </c>
      <c r="I215" s="139">
        <v>2E-3</v>
      </c>
      <c r="J215" s="156"/>
      <c r="K215" s="149">
        <v>1E-4</v>
      </c>
    </row>
    <row r="216" spans="1:11">
      <c r="A216" s="172" t="s">
        <v>346</v>
      </c>
      <c r="B216" s="173" t="s">
        <v>1573</v>
      </c>
      <c r="C216" s="140">
        <v>13920</v>
      </c>
      <c r="D216" s="140">
        <v>0</v>
      </c>
      <c r="E216" s="140">
        <v>0</v>
      </c>
      <c r="F216" s="140">
        <v>13920</v>
      </c>
      <c r="G216" s="140">
        <v>20000</v>
      </c>
      <c r="H216" s="140" t="s">
        <v>1512</v>
      </c>
      <c r="I216" s="140">
        <v>0.69599999999999995</v>
      </c>
      <c r="J216" s="174"/>
      <c r="K216" s="149">
        <v>2.7099999999999999E-2</v>
      </c>
    </row>
    <row r="217" spans="1:11">
      <c r="A217" s="137" t="s">
        <v>1056</v>
      </c>
      <c r="B217" s="138" t="s">
        <v>1515</v>
      </c>
      <c r="C217" s="139">
        <v>100</v>
      </c>
      <c r="D217" s="139"/>
      <c r="E217" s="139"/>
      <c r="F217" s="140">
        <v>100</v>
      </c>
      <c r="G217" s="139">
        <v>20000</v>
      </c>
      <c r="H217" s="139" t="s">
        <v>1512</v>
      </c>
      <c r="I217" s="139">
        <v>5.0000000000000001E-3</v>
      </c>
      <c r="J217" s="156"/>
      <c r="K217" s="149">
        <v>2.0000000000000001E-4</v>
      </c>
    </row>
    <row r="218" spans="1:11">
      <c r="A218" s="137" t="s">
        <v>1057</v>
      </c>
      <c r="B218" s="138" t="s">
        <v>1516</v>
      </c>
      <c r="C218" s="139">
        <v>2800</v>
      </c>
      <c r="D218" s="139"/>
      <c r="E218" s="139"/>
      <c r="F218" s="140">
        <v>2800</v>
      </c>
      <c r="G218" s="139">
        <v>20000</v>
      </c>
      <c r="H218" s="139" t="s">
        <v>1512</v>
      </c>
      <c r="I218" s="139">
        <v>0.14000000000000001</v>
      </c>
      <c r="J218" s="156"/>
      <c r="K218" s="149">
        <v>5.4999999999999997E-3</v>
      </c>
    </row>
    <row r="219" spans="1:11">
      <c r="A219" s="137" t="s">
        <v>1058</v>
      </c>
      <c r="B219" s="138" t="s">
        <v>1517</v>
      </c>
      <c r="C219" s="139">
        <v>5000</v>
      </c>
      <c r="D219" s="139"/>
      <c r="E219" s="139"/>
      <c r="F219" s="140">
        <v>5000</v>
      </c>
      <c r="G219" s="139">
        <v>20000</v>
      </c>
      <c r="H219" s="139" t="s">
        <v>1512</v>
      </c>
      <c r="I219" s="139">
        <v>0.25</v>
      </c>
      <c r="J219" s="156"/>
      <c r="K219" s="149">
        <v>9.7000000000000003E-3</v>
      </c>
    </row>
    <row r="220" spans="1:11">
      <c r="A220" s="137" t="s">
        <v>1059</v>
      </c>
      <c r="B220" s="138" t="s">
        <v>1518</v>
      </c>
      <c r="C220" s="139">
        <v>3000</v>
      </c>
      <c r="D220" s="139"/>
      <c r="E220" s="139"/>
      <c r="F220" s="140">
        <v>3000</v>
      </c>
      <c r="G220" s="139">
        <v>20000</v>
      </c>
      <c r="H220" s="139" t="s">
        <v>1512</v>
      </c>
      <c r="I220" s="139">
        <v>0.15</v>
      </c>
      <c r="J220" s="156"/>
      <c r="K220" s="149">
        <v>5.7999999999999996E-3</v>
      </c>
    </row>
    <row r="221" spans="1:11">
      <c r="A221" s="137" t="s">
        <v>1060</v>
      </c>
      <c r="B221" s="138" t="s">
        <v>1519</v>
      </c>
      <c r="C221" s="139">
        <v>260</v>
      </c>
      <c r="D221" s="139"/>
      <c r="E221" s="139"/>
      <c r="F221" s="140">
        <v>260</v>
      </c>
      <c r="G221" s="139">
        <v>20000</v>
      </c>
      <c r="H221" s="139" t="s">
        <v>1512</v>
      </c>
      <c r="I221" s="139">
        <v>1.2999999999999999E-2</v>
      </c>
      <c r="J221" s="156"/>
      <c r="K221" s="149">
        <v>5.0000000000000001E-4</v>
      </c>
    </row>
    <row r="222" spans="1:11">
      <c r="A222" s="137" t="s">
        <v>1061</v>
      </c>
      <c r="B222" s="138" t="s">
        <v>1520</v>
      </c>
      <c r="C222" s="139">
        <v>1000</v>
      </c>
      <c r="D222" s="139"/>
      <c r="E222" s="139"/>
      <c r="F222" s="140">
        <v>1000</v>
      </c>
      <c r="G222" s="139">
        <v>20000</v>
      </c>
      <c r="H222" s="139" t="s">
        <v>1512</v>
      </c>
      <c r="I222" s="139">
        <v>0.05</v>
      </c>
      <c r="J222" s="156"/>
      <c r="K222" s="149">
        <v>1.9E-3</v>
      </c>
    </row>
    <row r="223" spans="1:11">
      <c r="A223" s="137" t="s">
        <v>1062</v>
      </c>
      <c r="B223" s="138" t="s">
        <v>1521</v>
      </c>
      <c r="C223" s="139">
        <v>1200</v>
      </c>
      <c r="D223" s="139"/>
      <c r="E223" s="139"/>
      <c r="F223" s="140">
        <v>1200</v>
      </c>
      <c r="G223" s="139">
        <v>20000</v>
      </c>
      <c r="H223" s="139" t="s">
        <v>1512</v>
      </c>
      <c r="I223" s="139">
        <v>0.06</v>
      </c>
      <c r="J223" s="156"/>
      <c r="K223" s="149">
        <v>2.3E-3</v>
      </c>
    </row>
    <row r="224" spans="1:11">
      <c r="A224" s="137" t="s">
        <v>1063</v>
      </c>
      <c r="B224" s="138" t="s">
        <v>1522</v>
      </c>
      <c r="C224" s="139"/>
      <c r="D224" s="139">
        <v>0</v>
      </c>
      <c r="E224" s="139"/>
      <c r="F224" s="140">
        <v>0</v>
      </c>
      <c r="G224" s="139">
        <v>0</v>
      </c>
      <c r="H224" s="139" t="s">
        <v>1523</v>
      </c>
      <c r="I224" s="139">
        <v>45</v>
      </c>
      <c r="J224" s="156"/>
      <c r="K224" s="149">
        <v>0</v>
      </c>
    </row>
    <row r="225" spans="1:18">
      <c r="A225" s="137" t="s">
        <v>1064</v>
      </c>
      <c r="B225" s="138" t="s">
        <v>1574</v>
      </c>
      <c r="C225" s="139">
        <v>400</v>
      </c>
      <c r="D225" s="139"/>
      <c r="E225" s="139"/>
      <c r="F225" s="140"/>
      <c r="G225" s="139">
        <v>10000</v>
      </c>
      <c r="H225" s="139" t="s">
        <v>1512</v>
      </c>
      <c r="I225" s="139">
        <v>0.04</v>
      </c>
      <c r="J225" s="156"/>
      <c r="K225" s="149">
        <v>0</v>
      </c>
    </row>
    <row r="226" spans="1:18">
      <c r="A226" s="137" t="s">
        <v>1065</v>
      </c>
      <c r="B226" s="138" t="s">
        <v>1524</v>
      </c>
      <c r="C226" s="139">
        <v>120</v>
      </c>
      <c r="D226" s="139"/>
      <c r="E226" s="139"/>
      <c r="F226" s="140">
        <v>120</v>
      </c>
      <c r="G226" s="139">
        <v>20000</v>
      </c>
      <c r="H226" s="139" t="s">
        <v>1512</v>
      </c>
      <c r="I226" s="139">
        <v>6.0000000000000001E-3</v>
      </c>
      <c r="J226" s="156"/>
      <c r="K226" s="149">
        <v>2.0000000000000001E-4</v>
      </c>
    </row>
    <row r="227" spans="1:18">
      <c r="A227" s="137" t="s">
        <v>1066</v>
      </c>
      <c r="B227" s="138" t="s">
        <v>1525</v>
      </c>
      <c r="C227" s="139">
        <v>40</v>
      </c>
      <c r="D227" s="139"/>
      <c r="E227" s="139"/>
      <c r="F227" s="140">
        <v>40</v>
      </c>
      <c r="G227" s="139">
        <v>20000</v>
      </c>
      <c r="H227" s="139" t="s">
        <v>1512</v>
      </c>
      <c r="I227" s="139">
        <v>2E-3</v>
      </c>
      <c r="J227" s="156"/>
      <c r="K227" s="149">
        <v>1E-4</v>
      </c>
    </row>
    <row r="228" spans="1:18">
      <c r="A228" s="142">
        <v>4</v>
      </c>
      <c r="B228" s="143" t="s">
        <v>1579</v>
      </c>
      <c r="C228" s="133">
        <v>0</v>
      </c>
      <c r="D228" s="133">
        <v>43141.88</v>
      </c>
      <c r="E228" s="133">
        <v>0</v>
      </c>
      <c r="F228" s="133">
        <v>43141.88</v>
      </c>
      <c r="G228" s="133"/>
      <c r="H228" s="133"/>
      <c r="I228" s="133"/>
      <c r="J228" s="151"/>
      <c r="K228" s="179">
        <v>8.4099999999999994E-2</v>
      </c>
      <c r="O228" s="150">
        <f>SUM(M229:M250)</f>
        <v>22038.98</v>
      </c>
    </row>
    <row r="229" spans="1:18">
      <c r="A229" s="134">
        <v>4.0999999999999996</v>
      </c>
      <c r="B229" s="135" t="s">
        <v>1580</v>
      </c>
      <c r="C229" s="136"/>
      <c r="D229" s="136">
        <v>21102.9</v>
      </c>
      <c r="E229" s="136"/>
      <c r="F229" s="136">
        <v>21102.9</v>
      </c>
      <c r="G229" s="136"/>
      <c r="H229" s="136"/>
      <c r="I229" s="136"/>
      <c r="J229" s="157"/>
      <c r="K229" s="154">
        <v>4.1099999999999998E-2</v>
      </c>
      <c r="L229" s="180"/>
      <c r="M229" s="144"/>
      <c r="N229" s="145"/>
      <c r="O229" s="144"/>
      <c r="P229" s="155"/>
      <c r="Q229" s="155"/>
      <c r="R229" s="155"/>
    </row>
    <row r="230" spans="1:18">
      <c r="A230" s="137" t="s">
        <v>435</v>
      </c>
      <c r="B230" s="138" t="s">
        <v>1581</v>
      </c>
      <c r="C230" s="139"/>
      <c r="D230" s="139">
        <v>21102.9</v>
      </c>
      <c r="E230" s="139"/>
      <c r="F230" s="139">
        <v>21102.9</v>
      </c>
      <c r="G230" s="139"/>
      <c r="H230" s="139"/>
      <c r="I230" s="139"/>
      <c r="J230" s="174"/>
      <c r="K230" s="149">
        <v>4.1099999999999998E-2</v>
      </c>
    </row>
    <row r="231" spans="1:18">
      <c r="A231" s="137" t="s">
        <v>1288</v>
      </c>
      <c r="B231" s="175" t="s">
        <v>1511</v>
      </c>
      <c r="C231" s="176"/>
      <c r="D231" s="176">
        <v>6371.89</v>
      </c>
      <c r="E231" s="176"/>
      <c r="F231" s="176">
        <v>6371.89</v>
      </c>
      <c r="G231" s="176">
        <v>19474</v>
      </c>
      <c r="H231" s="176" t="s">
        <v>1512</v>
      </c>
      <c r="I231" s="176">
        <v>0.32700000000000001</v>
      </c>
      <c r="J231" s="181"/>
      <c r="K231" s="182">
        <v>1.24E-2</v>
      </c>
      <c r="L231" s="144"/>
      <c r="M231" s="144"/>
      <c r="N231" s="145"/>
      <c r="O231" s="144"/>
      <c r="P231" s="155"/>
      <c r="Q231" s="155" t="s">
        <v>853</v>
      </c>
      <c r="R231" s="155" t="s">
        <v>1582</v>
      </c>
    </row>
    <row r="232" spans="1:18">
      <c r="A232" s="137" t="s">
        <v>1295</v>
      </c>
      <c r="B232" s="175" t="s">
        <v>1526</v>
      </c>
      <c r="C232" s="176"/>
      <c r="D232" s="176">
        <v>6371.89</v>
      </c>
      <c r="E232" s="176"/>
      <c r="F232" s="176">
        <v>6371.89</v>
      </c>
      <c r="G232" s="176">
        <v>19474</v>
      </c>
      <c r="H232" s="176" t="s">
        <v>1512</v>
      </c>
      <c r="I232" s="176">
        <v>0.32700000000000001</v>
      </c>
      <c r="J232" s="181"/>
      <c r="K232" s="182">
        <v>1.24E-2</v>
      </c>
      <c r="L232" s="144"/>
      <c r="M232" s="144"/>
      <c r="N232" s="145"/>
      <c r="O232" s="144"/>
      <c r="P232" s="155"/>
      <c r="Q232" s="155" t="s">
        <v>853</v>
      </c>
      <c r="R232" s="155" t="s">
        <v>1582</v>
      </c>
    </row>
    <row r="233" spans="1:18">
      <c r="A233" s="137" t="s">
        <v>1297</v>
      </c>
      <c r="B233" s="138" t="s">
        <v>1529</v>
      </c>
      <c r="C233" s="139"/>
      <c r="D233" s="139">
        <v>1634.33</v>
      </c>
      <c r="E233" s="139"/>
      <c r="F233" s="139">
        <v>1634.33</v>
      </c>
      <c r="G233" s="139">
        <v>45398</v>
      </c>
      <c r="H233" s="139" t="s">
        <v>1512</v>
      </c>
      <c r="I233" s="139">
        <v>3.5999999999999997E-2</v>
      </c>
      <c r="J233" s="174"/>
      <c r="K233" s="149">
        <v>3.2000000000000002E-3</v>
      </c>
      <c r="L233" s="1210" t="s">
        <v>1583</v>
      </c>
    </row>
    <row r="234" spans="1:18">
      <c r="A234" s="137" t="s">
        <v>1300</v>
      </c>
      <c r="B234" s="138" t="s">
        <v>1532</v>
      </c>
      <c r="C234" s="139"/>
      <c r="D234" s="139">
        <v>13.48</v>
      </c>
      <c r="E234" s="139"/>
      <c r="F234" s="139">
        <v>13.48</v>
      </c>
      <c r="G234" s="139">
        <v>949</v>
      </c>
      <c r="H234" s="139" t="s">
        <v>1512</v>
      </c>
      <c r="I234" s="139">
        <v>1.4E-2</v>
      </c>
      <c r="J234" s="174"/>
      <c r="K234" s="149">
        <v>0</v>
      </c>
      <c r="L234" s="1211"/>
    </row>
    <row r="235" spans="1:18">
      <c r="A235" s="137" t="s">
        <v>1302</v>
      </c>
      <c r="B235" s="138" t="s">
        <v>1540</v>
      </c>
      <c r="C235" s="139"/>
      <c r="D235" s="139">
        <v>7.4</v>
      </c>
      <c r="E235" s="139"/>
      <c r="F235" s="139">
        <v>7.4</v>
      </c>
      <c r="G235" s="139">
        <v>521</v>
      </c>
      <c r="H235" s="139" t="s">
        <v>1512</v>
      </c>
      <c r="I235" s="139">
        <v>1.4E-2</v>
      </c>
      <c r="J235" s="174"/>
      <c r="K235" s="149">
        <v>0</v>
      </c>
      <c r="L235" s="1211"/>
    </row>
    <row r="236" spans="1:18">
      <c r="A236" s="137" t="s">
        <v>1308</v>
      </c>
      <c r="B236" s="138" t="s">
        <v>1551</v>
      </c>
      <c r="C236" s="139"/>
      <c r="D236" s="139">
        <v>176.51</v>
      </c>
      <c r="E236" s="139"/>
      <c r="F236" s="139">
        <v>176.51</v>
      </c>
      <c r="G236" s="139">
        <v>39225</v>
      </c>
      <c r="H236" s="139" t="s">
        <v>1512</v>
      </c>
      <c r="I236" s="139">
        <v>5.0000000000000001E-3</v>
      </c>
      <c r="J236" s="174"/>
      <c r="K236" s="149">
        <v>2.9999999999999997E-4</v>
      </c>
      <c r="L236" s="1211"/>
    </row>
    <row r="237" spans="1:18">
      <c r="A237" s="137" t="s">
        <v>1311</v>
      </c>
      <c r="B237" s="138" t="s">
        <v>1552</v>
      </c>
      <c r="C237" s="139"/>
      <c r="D237" s="139">
        <v>94.21</v>
      </c>
      <c r="E237" s="139"/>
      <c r="F237" s="139">
        <v>94.21</v>
      </c>
      <c r="G237" s="139">
        <v>20936</v>
      </c>
      <c r="H237" s="139" t="s">
        <v>1512</v>
      </c>
      <c r="I237" s="139">
        <v>5.0000000000000001E-3</v>
      </c>
      <c r="J237" s="174"/>
      <c r="K237" s="149">
        <v>2.0000000000000001E-4</v>
      </c>
      <c r="L237" s="1211"/>
    </row>
    <row r="238" spans="1:18">
      <c r="A238" s="137" t="s">
        <v>1315</v>
      </c>
      <c r="B238" s="138" t="s">
        <v>1553</v>
      </c>
      <c r="C238" s="139"/>
      <c r="D238" s="139">
        <v>20.25</v>
      </c>
      <c r="E238" s="139"/>
      <c r="F238" s="139">
        <v>20.25</v>
      </c>
      <c r="G238" s="139">
        <v>4500</v>
      </c>
      <c r="H238" s="139" t="s">
        <v>1512</v>
      </c>
      <c r="I238" s="139">
        <v>5.0000000000000001E-3</v>
      </c>
      <c r="J238" s="174"/>
      <c r="K238" s="149">
        <v>0</v>
      </c>
      <c r="L238" s="1211"/>
    </row>
    <row r="239" spans="1:18">
      <c r="A239" s="137" t="s">
        <v>1584</v>
      </c>
      <c r="B239" s="138" t="s">
        <v>1554</v>
      </c>
      <c r="C239" s="139"/>
      <c r="D239" s="139">
        <v>89.48</v>
      </c>
      <c r="E239" s="139"/>
      <c r="F239" s="139">
        <v>89.48</v>
      </c>
      <c r="G239" s="139">
        <v>19884</v>
      </c>
      <c r="H239" s="139" t="s">
        <v>1512</v>
      </c>
      <c r="I239" s="139">
        <v>5.0000000000000001E-3</v>
      </c>
      <c r="J239" s="174"/>
      <c r="K239" s="149">
        <v>2.0000000000000001E-4</v>
      </c>
      <c r="L239" s="1211"/>
    </row>
    <row r="240" spans="1:18">
      <c r="A240" s="137" t="s">
        <v>1585</v>
      </c>
      <c r="B240" s="138" t="s">
        <v>1555</v>
      </c>
      <c r="C240" s="139"/>
      <c r="D240" s="139">
        <v>89.48</v>
      </c>
      <c r="E240" s="139"/>
      <c r="F240" s="139">
        <v>89.48</v>
      </c>
      <c r="G240" s="139">
        <v>19884</v>
      </c>
      <c r="H240" s="139" t="s">
        <v>1512</v>
      </c>
      <c r="I240" s="139">
        <v>5.0000000000000001E-3</v>
      </c>
      <c r="J240" s="174"/>
      <c r="K240" s="149">
        <v>2.0000000000000001E-4</v>
      </c>
      <c r="L240" s="1211"/>
    </row>
    <row r="241" spans="1:19">
      <c r="A241" s="137" t="s">
        <v>1586</v>
      </c>
      <c r="B241" s="138" t="s">
        <v>1556</v>
      </c>
      <c r="C241" s="139"/>
      <c r="D241" s="139">
        <v>56.66</v>
      </c>
      <c r="E241" s="139"/>
      <c r="F241" s="139">
        <v>56.66</v>
      </c>
      <c r="G241" s="139">
        <v>12591</v>
      </c>
      <c r="H241" s="139" t="s">
        <v>1512</v>
      </c>
      <c r="I241" s="139">
        <v>5.0000000000000001E-3</v>
      </c>
      <c r="J241" s="174"/>
      <c r="K241" s="149">
        <v>1E-4</v>
      </c>
      <c r="L241" s="1211"/>
    </row>
    <row r="242" spans="1:19">
      <c r="A242" s="137" t="s">
        <v>1587</v>
      </c>
      <c r="B242" s="138" t="s">
        <v>1557</v>
      </c>
      <c r="C242" s="139"/>
      <c r="D242" s="139">
        <v>56.66</v>
      </c>
      <c r="E242" s="139"/>
      <c r="F242" s="139">
        <v>56.66</v>
      </c>
      <c r="G242" s="139">
        <v>12591</v>
      </c>
      <c r="H242" s="139" t="s">
        <v>1512</v>
      </c>
      <c r="I242" s="139">
        <v>5.0000000000000001E-3</v>
      </c>
      <c r="J242" s="174"/>
      <c r="K242" s="149">
        <v>1E-4</v>
      </c>
      <c r="L242" s="1211"/>
    </row>
    <row r="243" spans="1:19">
      <c r="A243" s="137" t="s">
        <v>1588</v>
      </c>
      <c r="B243" s="138" t="s">
        <v>1561</v>
      </c>
      <c r="C243" s="139"/>
      <c r="D243" s="139">
        <v>44.59</v>
      </c>
      <c r="E243" s="139"/>
      <c r="F243" s="139">
        <v>44.59</v>
      </c>
      <c r="G243" s="139">
        <v>9908</v>
      </c>
      <c r="H243" s="139" t="s">
        <v>1512</v>
      </c>
      <c r="I243" s="139">
        <v>5.0000000000000001E-3</v>
      </c>
      <c r="J243" s="174"/>
      <c r="K243" s="149">
        <v>1E-4</v>
      </c>
      <c r="L243" s="1211"/>
    </row>
    <row r="244" spans="1:19">
      <c r="A244" s="137" t="s">
        <v>1589</v>
      </c>
      <c r="B244" s="138" t="s">
        <v>1562</v>
      </c>
      <c r="C244" s="139"/>
      <c r="D244" s="139">
        <v>51.24</v>
      </c>
      <c r="E244" s="139"/>
      <c r="F244" s="139">
        <v>51.24</v>
      </c>
      <c r="G244" s="139">
        <v>11387</v>
      </c>
      <c r="H244" s="139" t="s">
        <v>1512</v>
      </c>
      <c r="I244" s="139">
        <v>5.0000000000000001E-3</v>
      </c>
      <c r="J244" s="174"/>
      <c r="K244" s="149">
        <v>1E-4</v>
      </c>
      <c r="L244" s="1211"/>
    </row>
    <row r="245" spans="1:19">
      <c r="A245" s="137" t="s">
        <v>1590</v>
      </c>
      <c r="B245" s="138" t="s">
        <v>1563</v>
      </c>
      <c r="C245" s="139"/>
      <c r="D245" s="139">
        <v>51.24</v>
      </c>
      <c r="E245" s="139"/>
      <c r="F245" s="139">
        <v>51.24</v>
      </c>
      <c r="G245" s="139">
        <v>11387</v>
      </c>
      <c r="H245" s="139" t="s">
        <v>1512</v>
      </c>
      <c r="I245" s="139">
        <v>5.0000000000000001E-3</v>
      </c>
      <c r="J245" s="174"/>
      <c r="K245" s="149">
        <v>1E-4</v>
      </c>
      <c r="L245" s="1211"/>
    </row>
    <row r="246" spans="1:19">
      <c r="A246" s="137" t="s">
        <v>1591</v>
      </c>
      <c r="B246" s="138" t="s">
        <v>1564</v>
      </c>
      <c r="C246" s="139"/>
      <c r="D246" s="139">
        <v>51.24</v>
      </c>
      <c r="E246" s="139"/>
      <c r="F246" s="139">
        <v>51.24</v>
      </c>
      <c r="G246" s="139">
        <v>11387</v>
      </c>
      <c r="H246" s="139" t="s">
        <v>1512</v>
      </c>
      <c r="I246" s="139">
        <v>5.0000000000000001E-3</v>
      </c>
      <c r="J246" s="174"/>
      <c r="K246" s="149">
        <v>1E-4</v>
      </c>
      <c r="L246" s="1211"/>
    </row>
    <row r="247" spans="1:19">
      <c r="A247" s="137" t="s">
        <v>1592</v>
      </c>
      <c r="B247" s="138" t="s">
        <v>1568</v>
      </c>
      <c r="C247" s="139"/>
      <c r="D247" s="139">
        <v>1050.3</v>
      </c>
      <c r="E247" s="139"/>
      <c r="F247" s="139">
        <v>1050.3</v>
      </c>
      <c r="G247" s="139">
        <v>87525</v>
      </c>
      <c r="H247" s="139" t="s">
        <v>1512</v>
      </c>
      <c r="I247" s="139">
        <v>1.2E-2</v>
      </c>
      <c r="J247" s="174"/>
      <c r="K247" s="149">
        <v>2E-3</v>
      </c>
      <c r="L247" s="1211"/>
    </row>
    <row r="248" spans="1:19">
      <c r="A248" s="137" t="s">
        <v>1593</v>
      </c>
      <c r="B248" s="138" t="s">
        <v>1594</v>
      </c>
      <c r="C248" s="139"/>
      <c r="D248" s="139">
        <v>660</v>
      </c>
      <c r="E248" s="139"/>
      <c r="F248" s="139">
        <v>660</v>
      </c>
      <c r="G248" s="139">
        <v>55000</v>
      </c>
      <c r="H248" s="139" t="s">
        <v>1512</v>
      </c>
      <c r="I248" s="139">
        <v>1.2E-2</v>
      </c>
      <c r="J248" s="174"/>
      <c r="K248" s="149">
        <v>1.2999999999999999E-3</v>
      </c>
      <c r="L248" s="1211"/>
      <c r="Q248" s="155" t="s">
        <v>834</v>
      </c>
    </row>
    <row r="249" spans="1:19">
      <c r="A249" s="137" t="s">
        <v>1344</v>
      </c>
      <c r="B249" s="138" t="s">
        <v>1595</v>
      </c>
      <c r="C249" s="139"/>
      <c r="D249" s="139">
        <v>4212.05</v>
      </c>
      <c r="E249" s="139"/>
      <c r="F249" s="139">
        <v>4212.05</v>
      </c>
      <c r="G249" s="139">
        <v>679362.9</v>
      </c>
      <c r="H249" s="139" t="s">
        <v>1512</v>
      </c>
      <c r="I249" s="139">
        <v>6.0000000000000001E-3</v>
      </c>
      <c r="J249" s="174"/>
      <c r="K249" s="149">
        <v>8.2000000000000007E-3</v>
      </c>
      <c r="L249" s="180" t="s">
        <v>1596</v>
      </c>
      <c r="M249" s="144"/>
      <c r="N249" s="145"/>
      <c r="O249" s="144"/>
      <c r="P249" s="155"/>
      <c r="Q249" s="183" t="s">
        <v>1597</v>
      </c>
      <c r="R249" s="155" t="s">
        <v>1598</v>
      </c>
    </row>
    <row r="250" spans="1:19">
      <c r="A250" s="177">
        <v>4.2</v>
      </c>
      <c r="B250" s="178" t="s">
        <v>1599</v>
      </c>
      <c r="C250" s="165"/>
      <c r="D250" s="165">
        <v>22038.98</v>
      </c>
      <c r="E250" s="165"/>
      <c r="F250" s="165">
        <v>22038.98</v>
      </c>
      <c r="G250" s="165"/>
      <c r="H250" s="165"/>
      <c r="I250" s="165"/>
      <c r="J250" s="157"/>
      <c r="K250" s="154">
        <v>4.2900000000000001E-2</v>
      </c>
      <c r="L250" s="180" t="s">
        <v>1600</v>
      </c>
      <c r="M250" s="144">
        <f>F250</f>
        <v>22038.98</v>
      </c>
      <c r="N250" s="145" t="s">
        <v>1601</v>
      </c>
      <c r="O250" s="144"/>
      <c r="P250" s="155"/>
      <c r="Q250" s="155"/>
      <c r="R250" s="155"/>
      <c r="S250" s="23" t="s">
        <v>1602</v>
      </c>
    </row>
    <row r="251" spans="1:19">
      <c r="A251" s="137" t="s">
        <v>1350</v>
      </c>
      <c r="B251" s="138" t="s">
        <v>1603</v>
      </c>
      <c r="C251" s="139"/>
      <c r="D251" s="139">
        <v>22038.98</v>
      </c>
      <c r="E251" s="139"/>
      <c r="F251" s="139">
        <v>22038.98</v>
      </c>
      <c r="G251" s="139"/>
      <c r="H251" s="139"/>
      <c r="I251" s="139"/>
      <c r="J251" s="174"/>
      <c r="K251" s="149">
        <v>4.2900000000000001E-2</v>
      </c>
    </row>
    <row r="252" spans="1:19">
      <c r="A252" s="142">
        <v>5</v>
      </c>
      <c r="B252" s="143" t="s">
        <v>1604</v>
      </c>
      <c r="C252" s="133">
        <v>83757.179999999993</v>
      </c>
      <c r="D252" s="133">
        <v>0</v>
      </c>
      <c r="E252" s="133">
        <v>100</v>
      </c>
      <c r="F252" s="133">
        <v>83857.179999999993</v>
      </c>
      <c r="G252" s="133"/>
      <c r="H252" s="133"/>
      <c r="I252" s="133"/>
      <c r="J252" s="151"/>
      <c r="K252" s="179">
        <v>0.16339999999999999</v>
      </c>
      <c r="O252" s="150">
        <f>SUM(M253:M287)</f>
        <v>85213.18</v>
      </c>
    </row>
    <row r="253" spans="1:19">
      <c r="A253" s="134">
        <v>5.0999999999999996</v>
      </c>
      <c r="B253" s="135" t="s">
        <v>1605</v>
      </c>
      <c r="C253" s="136">
        <v>8800</v>
      </c>
      <c r="D253" s="136">
        <v>0</v>
      </c>
      <c r="E253" s="136">
        <v>0</v>
      </c>
      <c r="F253" s="136">
        <v>8800</v>
      </c>
      <c r="G253" s="136">
        <v>11000</v>
      </c>
      <c r="H253" s="136" t="s">
        <v>1512</v>
      </c>
      <c r="I253" s="136">
        <v>0.8</v>
      </c>
      <c r="J253" s="157"/>
      <c r="K253" s="154">
        <v>1.7100000000000001E-2</v>
      </c>
    </row>
    <row r="254" spans="1:19">
      <c r="A254" s="172" t="s">
        <v>1073</v>
      </c>
      <c r="B254" s="173" t="s">
        <v>1606</v>
      </c>
      <c r="C254" s="140">
        <v>1650</v>
      </c>
      <c r="D254" s="140"/>
      <c r="E254" s="140"/>
      <c r="F254" s="140">
        <v>1650</v>
      </c>
      <c r="G254" s="140">
        <v>11000</v>
      </c>
      <c r="H254" s="140" t="s">
        <v>1512</v>
      </c>
      <c r="I254" s="140">
        <v>0.15</v>
      </c>
      <c r="J254" s="174"/>
      <c r="K254" s="149">
        <v>3.2000000000000002E-3</v>
      </c>
    </row>
    <row r="255" spans="1:19">
      <c r="A255" s="172" t="s">
        <v>1075</v>
      </c>
      <c r="B255" s="173" t="s">
        <v>1607</v>
      </c>
      <c r="C255" s="140">
        <v>6600</v>
      </c>
      <c r="D255" s="140"/>
      <c r="E255" s="140"/>
      <c r="F255" s="140">
        <v>6600</v>
      </c>
      <c r="G255" s="140">
        <v>11000</v>
      </c>
      <c r="H255" s="140" t="s">
        <v>1512</v>
      </c>
      <c r="I255" s="140">
        <v>0.6</v>
      </c>
      <c r="J255" s="174"/>
      <c r="K255" s="149">
        <v>1.29E-2</v>
      </c>
    </row>
    <row r="256" spans="1:19">
      <c r="A256" s="172" t="s">
        <v>1075</v>
      </c>
      <c r="B256" s="173" t="s">
        <v>1608</v>
      </c>
      <c r="C256" s="140">
        <v>550</v>
      </c>
      <c r="D256" s="140"/>
      <c r="E256" s="140"/>
      <c r="F256" s="140">
        <v>550</v>
      </c>
      <c r="G256" s="140">
        <v>11000</v>
      </c>
      <c r="H256" s="140" t="s">
        <v>1512</v>
      </c>
      <c r="I256" s="140">
        <v>0.05</v>
      </c>
      <c r="J256" s="174"/>
      <c r="K256" s="149">
        <v>1.1000000000000001E-3</v>
      </c>
    </row>
    <row r="257" spans="1:18">
      <c r="A257" s="134">
        <v>5.2</v>
      </c>
      <c r="B257" s="135" t="s">
        <v>1609</v>
      </c>
      <c r="C257" s="136">
        <v>8800</v>
      </c>
      <c r="D257" s="136">
        <v>0</v>
      </c>
      <c r="E257" s="136">
        <v>0</v>
      </c>
      <c r="F257" s="136">
        <v>8800</v>
      </c>
      <c r="G257" s="136">
        <v>11000</v>
      </c>
      <c r="H257" s="136" t="s">
        <v>1512</v>
      </c>
      <c r="I257" s="136">
        <v>0.8</v>
      </c>
      <c r="J257" s="157"/>
      <c r="K257" s="154">
        <v>1.7100000000000001E-2</v>
      </c>
    </row>
    <row r="258" spans="1:18">
      <c r="A258" s="172" t="s">
        <v>1079</v>
      </c>
      <c r="B258" s="173" t="s">
        <v>1606</v>
      </c>
      <c r="C258" s="140">
        <v>1650</v>
      </c>
      <c r="D258" s="140"/>
      <c r="E258" s="140"/>
      <c r="F258" s="140">
        <v>1650</v>
      </c>
      <c r="G258" s="140">
        <v>11000</v>
      </c>
      <c r="H258" s="140" t="s">
        <v>1512</v>
      </c>
      <c r="I258" s="140">
        <v>0.15</v>
      </c>
      <c r="J258" s="174"/>
      <c r="K258" s="149">
        <v>3.2000000000000002E-3</v>
      </c>
    </row>
    <row r="259" spans="1:18">
      <c r="A259" s="172" t="s">
        <v>1080</v>
      </c>
      <c r="B259" s="173" t="s">
        <v>1607</v>
      </c>
      <c r="C259" s="140">
        <v>6600</v>
      </c>
      <c r="D259" s="140"/>
      <c r="E259" s="140"/>
      <c r="F259" s="140">
        <v>6600</v>
      </c>
      <c r="G259" s="140">
        <v>11000</v>
      </c>
      <c r="H259" s="140" t="s">
        <v>1512</v>
      </c>
      <c r="I259" s="140">
        <v>0.6</v>
      </c>
      <c r="J259" s="174"/>
      <c r="K259" s="149">
        <v>1.29E-2</v>
      </c>
    </row>
    <row r="260" spans="1:18">
      <c r="A260" s="172" t="s">
        <v>1081</v>
      </c>
      <c r="B260" s="173" t="s">
        <v>1608</v>
      </c>
      <c r="C260" s="140">
        <v>550</v>
      </c>
      <c r="D260" s="140"/>
      <c r="E260" s="140"/>
      <c r="F260" s="140">
        <v>550</v>
      </c>
      <c r="G260" s="140">
        <v>11000</v>
      </c>
      <c r="H260" s="140" t="s">
        <v>1512</v>
      </c>
      <c r="I260" s="140">
        <v>0.05</v>
      </c>
      <c r="J260" s="174"/>
      <c r="K260" s="149">
        <v>1.1000000000000001E-3</v>
      </c>
    </row>
    <row r="261" spans="1:18">
      <c r="A261" s="134">
        <v>5.3</v>
      </c>
      <c r="B261" s="135" t="s">
        <v>1610</v>
      </c>
      <c r="C261" s="136">
        <v>4000</v>
      </c>
      <c r="D261" s="136">
        <v>0</v>
      </c>
      <c r="E261" s="136">
        <v>0</v>
      </c>
      <c r="F261" s="136">
        <v>4000</v>
      </c>
      <c r="G261" s="136">
        <v>5000</v>
      </c>
      <c r="H261" s="136" t="s">
        <v>1512</v>
      </c>
      <c r="I261" s="136">
        <v>0.8</v>
      </c>
      <c r="J261" s="157"/>
      <c r="K261" s="154">
        <v>7.7999999999999996E-3</v>
      </c>
    </row>
    <row r="262" spans="1:18">
      <c r="A262" s="172" t="s">
        <v>1083</v>
      </c>
      <c r="B262" s="173" t="s">
        <v>1606</v>
      </c>
      <c r="C262" s="140">
        <v>750</v>
      </c>
      <c r="D262" s="140"/>
      <c r="E262" s="140"/>
      <c r="F262" s="140">
        <v>750</v>
      </c>
      <c r="G262" s="140">
        <v>5000</v>
      </c>
      <c r="H262" s="140" t="s">
        <v>1512</v>
      </c>
      <c r="I262" s="140">
        <v>0.15</v>
      </c>
      <c r="J262" s="174"/>
      <c r="K262" s="149">
        <v>1.5E-3</v>
      </c>
    </row>
    <row r="263" spans="1:18">
      <c r="A263" s="172" t="s">
        <v>1084</v>
      </c>
      <c r="B263" s="173" t="s">
        <v>1607</v>
      </c>
      <c r="C263" s="140">
        <v>3000</v>
      </c>
      <c r="D263" s="140"/>
      <c r="E263" s="140"/>
      <c r="F263" s="140">
        <v>3000</v>
      </c>
      <c r="G263" s="140">
        <v>5000</v>
      </c>
      <c r="H263" s="140" t="s">
        <v>1512</v>
      </c>
      <c r="I263" s="140">
        <v>0.6</v>
      </c>
      <c r="J263" s="174"/>
      <c r="K263" s="149">
        <v>5.7999999999999996E-3</v>
      </c>
    </row>
    <row r="264" spans="1:18">
      <c r="A264" s="172" t="s">
        <v>1085</v>
      </c>
      <c r="B264" s="173" t="s">
        <v>1608</v>
      </c>
      <c r="C264" s="140">
        <v>250</v>
      </c>
      <c r="D264" s="140"/>
      <c r="E264" s="140"/>
      <c r="F264" s="140">
        <v>250</v>
      </c>
      <c r="G264" s="140">
        <v>5000</v>
      </c>
      <c r="H264" s="140" t="s">
        <v>1512</v>
      </c>
      <c r="I264" s="140">
        <v>0.05</v>
      </c>
      <c r="J264" s="174"/>
      <c r="K264" s="149">
        <v>5.0000000000000001E-4</v>
      </c>
    </row>
    <row r="265" spans="1:18">
      <c r="A265" s="134">
        <v>5.4</v>
      </c>
      <c r="B265" s="135" t="s">
        <v>1611</v>
      </c>
      <c r="C265" s="136">
        <v>3200</v>
      </c>
      <c r="D265" s="136">
        <v>0</v>
      </c>
      <c r="E265" s="136">
        <v>0</v>
      </c>
      <c r="F265" s="136">
        <v>3200</v>
      </c>
      <c r="G265" s="136">
        <v>4000</v>
      </c>
      <c r="H265" s="136" t="s">
        <v>1512</v>
      </c>
      <c r="I265" s="136">
        <v>0.8</v>
      </c>
      <c r="J265" s="157"/>
      <c r="K265" s="154">
        <v>6.1999999999999998E-3</v>
      </c>
      <c r="L265" s="144" t="s">
        <v>1612</v>
      </c>
      <c r="M265" s="144"/>
      <c r="N265" s="145"/>
      <c r="O265" s="144"/>
      <c r="P265" s="155"/>
      <c r="Q265" s="155"/>
      <c r="R265" s="155"/>
    </row>
    <row r="266" spans="1:18">
      <c r="A266" s="172" t="s">
        <v>1087</v>
      </c>
      <c r="B266" s="173" t="s">
        <v>1606</v>
      </c>
      <c r="C266" s="140">
        <v>600</v>
      </c>
      <c r="D266" s="140"/>
      <c r="E266" s="140"/>
      <c r="F266" s="140">
        <v>600</v>
      </c>
      <c r="G266" s="140">
        <v>4000</v>
      </c>
      <c r="H266" s="140" t="s">
        <v>1512</v>
      </c>
      <c r="I266" s="140">
        <v>0.15</v>
      </c>
      <c r="J266" s="174"/>
      <c r="K266" s="149">
        <v>1.1999999999999999E-3</v>
      </c>
    </row>
    <row r="267" spans="1:18">
      <c r="A267" s="172" t="s">
        <v>1088</v>
      </c>
      <c r="B267" s="173" t="s">
        <v>1607</v>
      </c>
      <c r="C267" s="140">
        <v>2400</v>
      </c>
      <c r="D267" s="140"/>
      <c r="E267" s="140"/>
      <c r="F267" s="140">
        <v>2400</v>
      </c>
      <c r="G267" s="140">
        <v>4000</v>
      </c>
      <c r="H267" s="140" t="s">
        <v>1512</v>
      </c>
      <c r="I267" s="140">
        <v>0.6</v>
      </c>
      <c r="J267" s="174"/>
      <c r="K267" s="149">
        <v>4.7000000000000002E-3</v>
      </c>
    </row>
    <row r="268" spans="1:18">
      <c r="A268" s="172" t="s">
        <v>1089</v>
      </c>
      <c r="B268" s="173" t="s">
        <v>1608</v>
      </c>
      <c r="C268" s="140">
        <v>200</v>
      </c>
      <c r="D268" s="140"/>
      <c r="E268" s="140"/>
      <c r="F268" s="140">
        <v>200</v>
      </c>
      <c r="G268" s="140">
        <v>4000</v>
      </c>
      <c r="H268" s="140" t="s">
        <v>1512</v>
      </c>
      <c r="I268" s="140">
        <v>0.05</v>
      </c>
      <c r="J268" s="174"/>
      <c r="K268" s="149">
        <v>4.0000000000000002E-4</v>
      </c>
    </row>
    <row r="269" spans="1:18">
      <c r="A269" s="134">
        <v>5.5</v>
      </c>
      <c r="B269" s="135" t="s">
        <v>1613</v>
      </c>
      <c r="C269" s="136">
        <v>750</v>
      </c>
      <c r="D269" s="136">
        <v>0</v>
      </c>
      <c r="E269" s="136">
        <v>0</v>
      </c>
      <c r="F269" s="136">
        <v>750</v>
      </c>
      <c r="G269" s="136">
        <v>1500</v>
      </c>
      <c r="H269" s="136" t="s">
        <v>1512</v>
      </c>
      <c r="I269" s="136">
        <v>0.5</v>
      </c>
      <c r="J269" s="157"/>
      <c r="K269" s="154">
        <v>1.5E-3</v>
      </c>
      <c r="L269" s="170" t="s">
        <v>1614</v>
      </c>
      <c r="M269" s="170">
        <f>F253+F257+F261+F265+F269</f>
        <v>25550</v>
      </c>
      <c r="N269" s="200" t="s">
        <v>1615</v>
      </c>
    </row>
    <row r="270" spans="1:18">
      <c r="A270" s="172" t="s">
        <v>1091</v>
      </c>
      <c r="B270" s="173" t="s">
        <v>1606</v>
      </c>
      <c r="C270" s="140">
        <v>225</v>
      </c>
      <c r="D270" s="140"/>
      <c r="E270" s="140"/>
      <c r="F270" s="140">
        <v>225</v>
      </c>
      <c r="G270" s="140">
        <v>1500</v>
      </c>
      <c r="H270" s="140" t="s">
        <v>1512</v>
      </c>
      <c r="I270" s="140">
        <v>0.15</v>
      </c>
      <c r="J270" s="174"/>
      <c r="K270" s="149">
        <v>4.0000000000000002E-4</v>
      </c>
    </row>
    <row r="271" spans="1:18">
      <c r="A271" s="172" t="s">
        <v>1092</v>
      </c>
      <c r="B271" s="173" t="s">
        <v>1607</v>
      </c>
      <c r="C271" s="140">
        <v>450</v>
      </c>
      <c r="D271" s="140"/>
      <c r="E271" s="140"/>
      <c r="F271" s="140">
        <v>450</v>
      </c>
      <c r="G271" s="140">
        <v>1500</v>
      </c>
      <c r="H271" s="140" t="s">
        <v>1512</v>
      </c>
      <c r="I271" s="140">
        <v>0.3</v>
      </c>
      <c r="J271" s="174"/>
      <c r="K271" s="149">
        <v>8.9999999999999998E-4</v>
      </c>
    </row>
    <row r="272" spans="1:18">
      <c r="A272" s="172" t="s">
        <v>1093</v>
      </c>
      <c r="B272" s="173" t="s">
        <v>1608</v>
      </c>
      <c r="C272" s="140">
        <v>75</v>
      </c>
      <c r="D272" s="140"/>
      <c r="E272" s="140"/>
      <c r="F272" s="140">
        <v>75</v>
      </c>
      <c r="G272" s="140">
        <v>1500</v>
      </c>
      <c r="H272" s="140" t="s">
        <v>1512</v>
      </c>
      <c r="I272" s="140">
        <v>0.05</v>
      </c>
      <c r="J272" s="174"/>
      <c r="K272" s="149">
        <v>1E-4</v>
      </c>
    </row>
    <row r="273" spans="1:18">
      <c r="A273" s="134">
        <v>5.0999999999999996</v>
      </c>
      <c r="B273" s="184" t="s">
        <v>1616</v>
      </c>
      <c r="C273" s="136">
        <v>58207.18</v>
      </c>
      <c r="D273" s="136">
        <v>0</v>
      </c>
      <c r="E273" s="136">
        <v>0</v>
      </c>
      <c r="F273" s="136">
        <v>58207.18</v>
      </c>
      <c r="G273" s="136">
        <v>590935.81000000006</v>
      </c>
      <c r="H273" s="136" t="s">
        <v>1512</v>
      </c>
      <c r="I273" s="136">
        <v>0.1</v>
      </c>
      <c r="J273" s="157"/>
      <c r="K273" s="154">
        <v>0.1134</v>
      </c>
      <c r="L273" s="201"/>
    </row>
    <row r="274" spans="1:18">
      <c r="A274" s="172" t="s">
        <v>1617</v>
      </c>
      <c r="B274" s="173" t="s">
        <v>1618</v>
      </c>
      <c r="C274" s="140">
        <v>58207.18</v>
      </c>
      <c r="D274" s="140"/>
      <c r="E274" s="140"/>
      <c r="F274" s="140"/>
      <c r="G274" s="140">
        <v>590935.81000000006</v>
      </c>
      <c r="H274" s="140"/>
      <c r="I274" s="140"/>
      <c r="J274" s="174"/>
      <c r="K274" s="140"/>
    </row>
    <row r="275" spans="1:18">
      <c r="A275" s="134" t="s">
        <v>1619</v>
      </c>
      <c r="B275" s="135" t="s">
        <v>1620</v>
      </c>
      <c r="C275" s="136">
        <v>16546.2</v>
      </c>
      <c r="D275" s="136"/>
      <c r="E275" s="136"/>
      <c r="F275" s="136">
        <v>16546.2</v>
      </c>
      <c r="G275" s="136">
        <v>118187.162</v>
      </c>
      <c r="H275" s="136" t="s">
        <v>1512</v>
      </c>
      <c r="I275" s="136"/>
      <c r="J275" s="157"/>
      <c r="K275" s="154">
        <v>3.2199999999999999E-2</v>
      </c>
      <c r="L275" s="180" t="s">
        <v>1621</v>
      </c>
      <c r="M275" s="144">
        <f>F275</f>
        <v>16546.2</v>
      </c>
      <c r="N275" s="145" t="s">
        <v>1622</v>
      </c>
      <c r="O275" s="144"/>
      <c r="P275" s="155"/>
      <c r="Q275" s="155"/>
      <c r="R275" s="155"/>
    </row>
    <row r="276" spans="1:18">
      <c r="A276" s="172" t="s">
        <v>1623</v>
      </c>
      <c r="B276" s="173" t="s">
        <v>1515</v>
      </c>
      <c r="C276" s="140">
        <v>2363.7399999999998</v>
      </c>
      <c r="D276" s="140"/>
      <c r="E276" s="140"/>
      <c r="F276" s="140">
        <v>2363.7399999999998</v>
      </c>
      <c r="G276" s="140">
        <v>118187.162</v>
      </c>
      <c r="H276" s="140" t="s">
        <v>1512</v>
      </c>
      <c r="I276" s="140">
        <v>0.02</v>
      </c>
      <c r="J276" s="174"/>
      <c r="K276" s="149">
        <v>4.5999999999999999E-3</v>
      </c>
    </row>
    <row r="277" spans="1:18">
      <c r="A277" s="172" t="s">
        <v>1624</v>
      </c>
      <c r="B277" s="173" t="s">
        <v>1620</v>
      </c>
      <c r="C277" s="140">
        <v>14182.46</v>
      </c>
      <c r="D277" s="140"/>
      <c r="E277" s="140"/>
      <c r="F277" s="140">
        <v>14182.46</v>
      </c>
      <c r="G277" s="140">
        <v>118187.162</v>
      </c>
      <c r="H277" s="140" t="s">
        <v>1512</v>
      </c>
      <c r="I277" s="140">
        <v>0.12</v>
      </c>
      <c r="J277" s="174"/>
      <c r="K277" s="149">
        <v>2.76E-2</v>
      </c>
    </row>
    <row r="278" spans="1:18">
      <c r="A278" s="134" t="s">
        <v>1625</v>
      </c>
      <c r="B278" s="135" t="s">
        <v>1626</v>
      </c>
      <c r="C278" s="136">
        <v>30137.73</v>
      </c>
      <c r="D278" s="136"/>
      <c r="E278" s="136"/>
      <c r="F278" s="136">
        <v>30137.73</v>
      </c>
      <c r="G278" s="136">
        <v>177280.74299999999</v>
      </c>
      <c r="H278" s="136" t="s">
        <v>1512</v>
      </c>
      <c r="I278" s="202"/>
      <c r="J278" s="203"/>
      <c r="K278" s="154">
        <v>5.8700000000000002E-2</v>
      </c>
      <c r="L278" s="170" t="s">
        <v>1627</v>
      </c>
      <c r="M278" s="170">
        <f>F278</f>
        <v>30137.73</v>
      </c>
      <c r="N278" s="200" t="s">
        <v>1628</v>
      </c>
    </row>
    <row r="279" spans="1:18">
      <c r="A279" s="172" t="s">
        <v>1629</v>
      </c>
      <c r="B279" s="173" t="s">
        <v>1515</v>
      </c>
      <c r="C279" s="140">
        <v>3545.61</v>
      </c>
      <c r="D279" s="140"/>
      <c r="E279" s="140"/>
      <c r="F279" s="140">
        <v>3545.61</v>
      </c>
      <c r="G279" s="140">
        <v>177280.74299999999</v>
      </c>
      <c r="H279" s="140" t="s">
        <v>1512</v>
      </c>
      <c r="I279" s="164">
        <v>0.02</v>
      </c>
      <c r="J279" s="174"/>
      <c r="K279" s="149">
        <v>6.8999999999999999E-3</v>
      </c>
    </row>
    <row r="280" spans="1:18">
      <c r="A280" s="172" t="s">
        <v>1630</v>
      </c>
      <c r="B280" s="173" t="s">
        <v>1626</v>
      </c>
      <c r="C280" s="140">
        <v>26592.11</v>
      </c>
      <c r="D280" s="140"/>
      <c r="E280" s="140"/>
      <c r="F280" s="140">
        <v>26592.11</v>
      </c>
      <c r="G280" s="140">
        <v>177280.74299999999</v>
      </c>
      <c r="H280" s="140" t="s">
        <v>1512</v>
      </c>
      <c r="I280" s="140">
        <v>0.15</v>
      </c>
      <c r="J280" s="174"/>
      <c r="K280" s="149">
        <v>5.1799999999999999E-2</v>
      </c>
    </row>
    <row r="281" spans="1:18">
      <c r="A281" s="134" t="s">
        <v>1631</v>
      </c>
      <c r="B281" s="135" t="s">
        <v>1632</v>
      </c>
      <c r="C281" s="136">
        <v>6204.83</v>
      </c>
      <c r="D281" s="136"/>
      <c r="E281" s="136"/>
      <c r="F281" s="136">
        <v>6204.83</v>
      </c>
      <c r="G281" s="136">
        <v>206827.53</v>
      </c>
      <c r="H281" s="136" t="s">
        <v>1512</v>
      </c>
      <c r="I281" s="136">
        <v>0.03</v>
      </c>
      <c r="J281" s="157"/>
      <c r="K281" s="154">
        <v>1.21E-2</v>
      </c>
      <c r="L281" s="170"/>
      <c r="M281" s="170">
        <f t="shared" ref="M281:M287" si="0">F281</f>
        <v>6204.83</v>
      </c>
      <c r="N281" s="200" t="s">
        <v>1633</v>
      </c>
    </row>
    <row r="282" spans="1:18">
      <c r="A282" s="185" t="s">
        <v>1634</v>
      </c>
      <c r="B282" s="186" t="s">
        <v>1635</v>
      </c>
      <c r="C282" s="187">
        <v>2363.7399999999998</v>
      </c>
      <c r="D282" s="187"/>
      <c r="E282" s="187"/>
      <c r="F282" s="187">
        <v>2363.7399999999998</v>
      </c>
      <c r="G282" s="187">
        <v>590935.81000000006</v>
      </c>
      <c r="H282" s="187" t="s">
        <v>1512</v>
      </c>
      <c r="I282" s="187">
        <v>4.0000000000000001E-3</v>
      </c>
      <c r="J282" s="204"/>
      <c r="K282" s="205">
        <v>4.5999999999999999E-3</v>
      </c>
      <c r="M282" s="124">
        <f t="shared" si="0"/>
        <v>2363.7399999999998</v>
      </c>
    </row>
    <row r="283" spans="1:18">
      <c r="A283" s="185" t="s">
        <v>1636</v>
      </c>
      <c r="B283" s="186" t="s">
        <v>1637</v>
      </c>
      <c r="C283" s="187">
        <v>2954.68</v>
      </c>
      <c r="D283" s="187"/>
      <c r="E283" s="187"/>
      <c r="F283" s="187">
        <v>2954.68</v>
      </c>
      <c r="G283" s="187">
        <v>590935.81000000006</v>
      </c>
      <c r="H283" s="187" t="s">
        <v>1512</v>
      </c>
      <c r="I283" s="187">
        <v>5.0000000000000001E-3</v>
      </c>
      <c r="J283" s="204"/>
      <c r="K283" s="205">
        <v>5.7999999999999996E-3</v>
      </c>
      <c r="M283" s="124">
        <f t="shared" si="0"/>
        <v>2954.68</v>
      </c>
    </row>
    <row r="284" spans="1:18">
      <c r="A284" s="188">
        <v>5.1100000000000003</v>
      </c>
      <c r="B284" s="189" t="s">
        <v>1638</v>
      </c>
      <c r="C284" s="190"/>
      <c r="D284" s="190"/>
      <c r="E284" s="190">
        <v>50</v>
      </c>
      <c r="F284" s="190">
        <v>50</v>
      </c>
      <c r="G284" s="190"/>
      <c r="H284" s="190"/>
      <c r="I284" s="190"/>
      <c r="J284" s="206"/>
      <c r="K284" s="207">
        <v>1E-4</v>
      </c>
      <c r="L284" s="124" t="s">
        <v>1639</v>
      </c>
      <c r="M284" s="124">
        <f t="shared" si="0"/>
        <v>50</v>
      </c>
    </row>
    <row r="285" spans="1:18">
      <c r="A285" s="188">
        <v>5.12</v>
      </c>
      <c r="B285" s="189" t="s">
        <v>1640</v>
      </c>
      <c r="C285" s="190"/>
      <c r="D285" s="190"/>
      <c r="E285" s="190">
        <v>50</v>
      </c>
      <c r="F285" s="190">
        <v>50</v>
      </c>
      <c r="G285" s="190"/>
      <c r="H285" s="190"/>
      <c r="I285" s="190"/>
      <c r="J285" s="206"/>
      <c r="K285" s="207">
        <v>1E-4</v>
      </c>
      <c r="L285" s="124" t="s">
        <v>1639</v>
      </c>
      <c r="M285" s="124">
        <f t="shared" si="0"/>
        <v>50</v>
      </c>
    </row>
    <row r="286" spans="1:18">
      <c r="A286" s="191">
        <v>6</v>
      </c>
      <c r="B286" s="192" t="s">
        <v>1641</v>
      </c>
      <c r="C286" s="193"/>
      <c r="D286" s="193"/>
      <c r="E286" s="193">
        <v>678</v>
      </c>
      <c r="F286" s="193">
        <v>678</v>
      </c>
      <c r="G286" s="193"/>
      <c r="H286" s="193"/>
      <c r="I286" s="193"/>
      <c r="J286" s="208"/>
      <c r="K286" s="179">
        <v>1.2999999999999999E-3</v>
      </c>
      <c r="L286" s="124" t="s">
        <v>1639</v>
      </c>
      <c r="M286" s="124">
        <f t="shared" si="0"/>
        <v>678</v>
      </c>
    </row>
    <row r="287" spans="1:18">
      <c r="A287" s="191">
        <v>7</v>
      </c>
      <c r="B287" s="192" t="s">
        <v>1642</v>
      </c>
      <c r="C287" s="193"/>
      <c r="D287" s="193"/>
      <c r="E287" s="193">
        <v>678</v>
      </c>
      <c r="F287" s="193">
        <v>678</v>
      </c>
      <c r="G287" s="193"/>
      <c r="H287" s="193"/>
      <c r="I287" s="193"/>
      <c r="J287" s="208"/>
      <c r="K287" s="179">
        <v>1.2999999999999999E-3</v>
      </c>
      <c r="L287" s="124" t="s">
        <v>1639</v>
      </c>
      <c r="M287" s="124">
        <f t="shared" si="0"/>
        <v>678</v>
      </c>
    </row>
    <row r="288" spans="1:18">
      <c r="A288" s="194"/>
      <c r="B288" s="195"/>
      <c r="C288" s="196"/>
      <c r="D288" s="196"/>
      <c r="E288" s="196"/>
      <c r="F288" s="196"/>
      <c r="G288" s="196"/>
      <c r="H288" s="196"/>
      <c r="I288" s="196"/>
      <c r="J288" s="209"/>
      <c r="K288" s="210"/>
      <c r="M288" s="124">
        <f>SUM(M5:M287)</f>
        <v>628353.31999999995</v>
      </c>
    </row>
    <row r="289" spans="1:11">
      <c r="A289" s="197" t="s">
        <v>1643</v>
      </c>
      <c r="B289" s="198" t="s">
        <v>1644</v>
      </c>
      <c r="C289" s="130"/>
      <c r="D289" s="130"/>
      <c r="E289" s="130">
        <v>88080.8</v>
      </c>
      <c r="F289" s="130">
        <v>88080.8</v>
      </c>
      <c r="G289" s="130"/>
      <c r="H289" s="130"/>
      <c r="I289" s="130"/>
      <c r="J289" s="211"/>
      <c r="K289" s="212">
        <v>0.1716</v>
      </c>
    </row>
    <row r="290" spans="1:11">
      <c r="A290" s="172">
        <v>1</v>
      </c>
      <c r="B290" s="173" t="s">
        <v>1645</v>
      </c>
      <c r="C290" s="140"/>
      <c r="D290" s="140"/>
      <c r="E290" s="140">
        <v>50951.96</v>
      </c>
      <c r="F290" s="140">
        <v>50951.96</v>
      </c>
      <c r="G290" s="140"/>
      <c r="H290" s="140"/>
      <c r="I290" s="140"/>
      <c r="J290" s="174"/>
      <c r="K290" s="149">
        <v>9.9299999999999999E-2</v>
      </c>
    </row>
    <row r="291" spans="1:11">
      <c r="A291" s="172">
        <v>2</v>
      </c>
      <c r="B291" s="173" t="s">
        <v>1646</v>
      </c>
      <c r="C291" s="140"/>
      <c r="D291" s="140"/>
      <c r="E291" s="140">
        <v>2582.37</v>
      </c>
      <c r="F291" s="140">
        <v>2582.37</v>
      </c>
      <c r="G291" s="140"/>
      <c r="H291" s="130"/>
      <c r="I291" s="130"/>
      <c r="J291" s="174" t="s">
        <v>1647</v>
      </c>
      <c r="K291" s="149">
        <v>5.0000000000000001E-3</v>
      </c>
    </row>
    <row r="292" spans="1:11">
      <c r="A292" s="172">
        <v>3</v>
      </c>
      <c r="B292" s="199" t="s">
        <v>1648</v>
      </c>
      <c r="C292" s="140"/>
      <c r="D292" s="140"/>
      <c r="E292" s="140">
        <v>3611.35</v>
      </c>
      <c r="F292" s="140">
        <v>3611.35</v>
      </c>
      <c r="G292" s="140"/>
      <c r="H292" s="130"/>
      <c r="I292" s="130"/>
      <c r="J292" s="174" t="s">
        <v>1649</v>
      </c>
      <c r="K292" s="149">
        <v>7.0000000000000001E-3</v>
      </c>
    </row>
    <row r="293" spans="1:11">
      <c r="A293" s="172">
        <v>4</v>
      </c>
      <c r="B293" s="173" t="s">
        <v>1650</v>
      </c>
      <c r="C293" s="140"/>
      <c r="D293" s="140"/>
      <c r="E293" s="140">
        <v>290</v>
      </c>
      <c r="F293" s="140">
        <v>290</v>
      </c>
      <c r="G293" s="140"/>
      <c r="H293" s="130"/>
      <c r="I293" s="130"/>
      <c r="J293" s="174"/>
      <c r="K293" s="149">
        <v>5.9999999999999995E-4</v>
      </c>
    </row>
    <row r="294" spans="1:11">
      <c r="A294" s="172">
        <v>4.0999999999999996</v>
      </c>
      <c r="B294" s="173" t="s">
        <v>1651</v>
      </c>
      <c r="C294" s="140"/>
      <c r="D294" s="140"/>
      <c r="E294" s="140">
        <v>290</v>
      </c>
      <c r="F294" s="140">
        <v>290</v>
      </c>
      <c r="G294" s="140"/>
      <c r="H294" s="130"/>
      <c r="I294" s="130"/>
      <c r="J294" s="174" t="s">
        <v>1652</v>
      </c>
      <c r="K294" s="149">
        <v>5.9999999999999995E-4</v>
      </c>
    </row>
    <row r="295" spans="1:11">
      <c r="A295" s="172">
        <v>5</v>
      </c>
      <c r="B295" s="173" t="s">
        <v>1653</v>
      </c>
      <c r="C295" s="140"/>
      <c r="D295" s="140"/>
      <c r="E295" s="140">
        <v>1016</v>
      </c>
      <c r="F295" s="140">
        <v>1016</v>
      </c>
      <c r="G295" s="140"/>
      <c r="H295" s="130"/>
      <c r="I295" s="130"/>
      <c r="J295" s="174" t="s">
        <v>1654</v>
      </c>
      <c r="K295" s="149">
        <v>2E-3</v>
      </c>
    </row>
    <row r="296" spans="1:11">
      <c r="A296" s="172">
        <v>5.0999999999999996</v>
      </c>
      <c r="B296" s="173" t="s">
        <v>1655</v>
      </c>
      <c r="C296" s="140"/>
      <c r="D296" s="140"/>
      <c r="E296" s="140">
        <v>280</v>
      </c>
      <c r="F296" s="140">
        <v>280</v>
      </c>
      <c r="G296" s="140"/>
      <c r="H296" s="130"/>
      <c r="I296" s="130"/>
      <c r="J296" s="174" t="s">
        <v>1654</v>
      </c>
      <c r="K296" s="149">
        <v>5.0000000000000001E-4</v>
      </c>
    </row>
    <row r="297" spans="1:11">
      <c r="A297" s="172">
        <v>5.2</v>
      </c>
      <c r="B297" s="173" t="s">
        <v>1656</v>
      </c>
      <c r="C297" s="140"/>
      <c r="D297" s="140"/>
      <c r="E297" s="140">
        <v>608</v>
      </c>
      <c r="F297" s="140">
        <v>608</v>
      </c>
      <c r="G297" s="140"/>
      <c r="H297" s="130"/>
      <c r="I297" s="130"/>
      <c r="J297" s="174" t="s">
        <v>1654</v>
      </c>
      <c r="K297" s="149">
        <v>1.1999999999999999E-3</v>
      </c>
    </row>
    <row r="298" spans="1:11">
      <c r="A298" s="172">
        <v>5.3</v>
      </c>
      <c r="B298" s="173" t="s">
        <v>1657</v>
      </c>
      <c r="C298" s="140"/>
      <c r="D298" s="140"/>
      <c r="E298" s="140">
        <v>128</v>
      </c>
      <c r="F298" s="140">
        <v>128</v>
      </c>
      <c r="G298" s="140"/>
      <c r="H298" s="130"/>
      <c r="I298" s="130"/>
      <c r="J298" s="174" t="s">
        <v>1654</v>
      </c>
      <c r="K298" s="149">
        <v>2.0000000000000001E-4</v>
      </c>
    </row>
    <row r="299" spans="1:11">
      <c r="A299" s="172">
        <v>6</v>
      </c>
      <c r="B299" s="173" t="s">
        <v>1658</v>
      </c>
      <c r="C299" s="140"/>
      <c r="D299" s="140"/>
      <c r="E299" s="140">
        <v>101.9</v>
      </c>
      <c r="F299" s="140">
        <v>101.9</v>
      </c>
      <c r="G299" s="140">
        <v>679362.9</v>
      </c>
      <c r="H299" s="130" t="s">
        <v>1659</v>
      </c>
      <c r="I299" s="130"/>
      <c r="J299" s="174" t="s">
        <v>1660</v>
      </c>
      <c r="K299" s="149">
        <v>2.0000000000000001E-4</v>
      </c>
    </row>
    <row r="300" spans="1:11">
      <c r="A300" s="172">
        <v>7</v>
      </c>
      <c r="B300" s="173" t="s">
        <v>1661</v>
      </c>
      <c r="C300" s="140"/>
      <c r="D300" s="140"/>
      <c r="E300" s="140">
        <v>9268.2800000000007</v>
      </c>
      <c r="F300" s="140">
        <v>9268.2800000000007</v>
      </c>
      <c r="G300" s="140"/>
      <c r="H300" s="130"/>
      <c r="I300" s="130"/>
      <c r="J300" s="174"/>
      <c r="K300" s="149">
        <v>1.8100000000000002E-2</v>
      </c>
    </row>
    <row r="301" spans="1:11">
      <c r="A301" s="172">
        <v>7.1</v>
      </c>
      <c r="B301" s="173" t="s">
        <v>1662</v>
      </c>
      <c r="C301" s="140"/>
      <c r="D301" s="140"/>
      <c r="E301" s="140">
        <v>2318.54</v>
      </c>
      <c r="F301" s="140">
        <v>2318.54</v>
      </c>
      <c r="G301" s="140"/>
      <c r="H301" s="130"/>
      <c r="I301" s="130"/>
      <c r="J301" s="174" t="s">
        <v>1663</v>
      </c>
      <c r="K301" s="149">
        <v>4.4999999999999997E-3</v>
      </c>
    </row>
    <row r="302" spans="1:11">
      <c r="A302" s="172">
        <v>7.2</v>
      </c>
      <c r="B302" s="173" t="s">
        <v>1664</v>
      </c>
      <c r="C302" s="140"/>
      <c r="D302" s="140"/>
      <c r="E302" s="140">
        <v>6074.94</v>
      </c>
      <c r="F302" s="140">
        <v>6074.94</v>
      </c>
      <c r="G302" s="140"/>
      <c r="H302" s="130"/>
      <c r="I302" s="130"/>
      <c r="J302" s="174" t="s">
        <v>1663</v>
      </c>
      <c r="K302" s="149">
        <v>1.18E-2</v>
      </c>
    </row>
    <row r="303" spans="1:11">
      <c r="A303" s="172">
        <v>7.3</v>
      </c>
      <c r="B303" s="173" t="s">
        <v>1665</v>
      </c>
      <c r="C303" s="140"/>
      <c r="D303" s="140"/>
      <c r="E303" s="140">
        <v>486</v>
      </c>
      <c r="F303" s="140">
        <v>486</v>
      </c>
      <c r="G303" s="140"/>
      <c r="H303" s="130"/>
      <c r="I303" s="130"/>
      <c r="J303" s="174" t="s">
        <v>1663</v>
      </c>
      <c r="K303" s="149">
        <v>8.9999999999999998E-4</v>
      </c>
    </row>
    <row r="304" spans="1:11">
      <c r="A304" s="172">
        <v>7.4</v>
      </c>
      <c r="B304" s="173" t="s">
        <v>1666</v>
      </c>
      <c r="C304" s="140"/>
      <c r="D304" s="140"/>
      <c r="E304" s="140">
        <v>388.8</v>
      </c>
      <c r="F304" s="140">
        <v>388.8</v>
      </c>
      <c r="G304" s="140"/>
      <c r="H304" s="130"/>
      <c r="I304" s="130"/>
      <c r="J304" s="174"/>
      <c r="K304" s="149">
        <v>8.0000000000000004E-4</v>
      </c>
    </row>
    <row r="305" spans="1:11">
      <c r="A305" s="172">
        <v>8</v>
      </c>
      <c r="B305" s="135" t="s">
        <v>1667</v>
      </c>
      <c r="C305" s="140"/>
      <c r="D305" s="140"/>
      <c r="E305" s="140">
        <v>3348.93</v>
      </c>
      <c r="F305" s="140">
        <v>3348.93</v>
      </c>
      <c r="G305" s="140"/>
      <c r="H305" s="130"/>
      <c r="I305" s="130"/>
      <c r="J305" s="174" t="s">
        <v>1668</v>
      </c>
      <c r="K305" s="149">
        <v>6.4999999999999997E-3</v>
      </c>
    </row>
    <row r="306" spans="1:11">
      <c r="A306" s="172">
        <v>8.1</v>
      </c>
      <c r="B306" s="173" t="s">
        <v>1669</v>
      </c>
      <c r="C306" s="140"/>
      <c r="D306" s="140"/>
      <c r="E306" s="140">
        <v>199.44</v>
      </c>
      <c r="F306" s="140">
        <v>199.44</v>
      </c>
      <c r="G306" s="140"/>
      <c r="H306" s="130"/>
      <c r="I306" s="130"/>
      <c r="J306" s="174" t="s">
        <v>1668</v>
      </c>
      <c r="K306" s="149">
        <v>4.0000000000000002E-4</v>
      </c>
    </row>
    <row r="307" spans="1:11">
      <c r="A307" s="172">
        <v>8.1999999999999993</v>
      </c>
      <c r="B307" s="173" t="s">
        <v>1670</v>
      </c>
      <c r="C307" s="140"/>
      <c r="D307" s="140"/>
      <c r="E307" s="140">
        <v>125.88</v>
      </c>
      <c r="F307" s="140">
        <v>125.88</v>
      </c>
      <c r="G307" s="140"/>
      <c r="H307" s="130"/>
      <c r="I307" s="130"/>
      <c r="J307" s="174" t="s">
        <v>1668</v>
      </c>
      <c r="K307" s="149">
        <v>2.0000000000000001E-4</v>
      </c>
    </row>
    <row r="308" spans="1:11">
      <c r="A308" s="172">
        <v>8.3000000000000007</v>
      </c>
      <c r="B308" s="184" t="s">
        <v>1133</v>
      </c>
      <c r="C308" s="140"/>
      <c r="D308" s="140"/>
      <c r="E308" s="140">
        <v>1484.09</v>
      </c>
      <c r="F308" s="140">
        <v>1484.09</v>
      </c>
      <c r="G308" s="140"/>
      <c r="H308" s="130"/>
      <c r="I308" s="130"/>
      <c r="J308" s="174" t="s">
        <v>1668</v>
      </c>
      <c r="K308" s="149">
        <v>2.8999999999999998E-3</v>
      </c>
    </row>
    <row r="309" spans="1:11">
      <c r="A309" s="172">
        <v>8.4</v>
      </c>
      <c r="B309" s="173" t="s">
        <v>1671</v>
      </c>
      <c r="C309" s="140"/>
      <c r="D309" s="140"/>
      <c r="E309" s="140">
        <v>1539.52</v>
      </c>
      <c r="F309" s="140">
        <v>1539.52</v>
      </c>
      <c r="G309" s="140"/>
      <c r="H309" s="130"/>
      <c r="I309" s="130"/>
      <c r="J309" s="174" t="s">
        <v>1668</v>
      </c>
      <c r="K309" s="149">
        <v>3.0000000000000001E-3</v>
      </c>
    </row>
    <row r="310" spans="1:11">
      <c r="A310" s="172">
        <v>9</v>
      </c>
      <c r="B310" s="173" t="s">
        <v>1672</v>
      </c>
      <c r="C310" s="140"/>
      <c r="D310" s="140"/>
      <c r="E310" s="140">
        <v>3622.72</v>
      </c>
      <c r="F310" s="140">
        <v>3622.72</v>
      </c>
      <c r="G310" s="140"/>
      <c r="H310" s="130"/>
      <c r="I310" s="130"/>
      <c r="J310" s="174" t="s">
        <v>1673</v>
      </c>
      <c r="K310" s="149">
        <v>7.1000000000000004E-3</v>
      </c>
    </row>
    <row r="311" spans="1:11">
      <c r="A311" s="172">
        <v>10</v>
      </c>
      <c r="B311" s="173" t="s">
        <v>1674</v>
      </c>
      <c r="C311" s="140"/>
      <c r="D311" s="140"/>
      <c r="E311" s="140">
        <v>1811.36</v>
      </c>
      <c r="F311" s="140">
        <v>1811.36</v>
      </c>
      <c r="G311" s="140"/>
      <c r="H311" s="130"/>
      <c r="I311" s="130"/>
      <c r="J311" s="174" t="s">
        <v>1675</v>
      </c>
      <c r="K311" s="149">
        <v>3.5000000000000001E-3</v>
      </c>
    </row>
    <row r="312" spans="1:11">
      <c r="A312" s="172">
        <v>11</v>
      </c>
      <c r="B312" s="173" t="s">
        <v>1676</v>
      </c>
      <c r="C312" s="140"/>
      <c r="D312" s="140"/>
      <c r="E312" s="140">
        <v>143.53</v>
      </c>
      <c r="F312" s="140">
        <v>143.53</v>
      </c>
      <c r="G312" s="140"/>
      <c r="H312" s="130"/>
      <c r="I312" s="130"/>
      <c r="J312" s="174" t="s">
        <v>1677</v>
      </c>
      <c r="K312" s="149">
        <v>2.9999999999999997E-4</v>
      </c>
    </row>
    <row r="313" spans="1:11">
      <c r="A313" s="172">
        <v>11.1</v>
      </c>
      <c r="B313" s="173" t="s">
        <v>1678</v>
      </c>
      <c r="C313" s="140"/>
      <c r="D313" s="140"/>
      <c r="E313" s="140">
        <v>101.78</v>
      </c>
      <c r="F313" s="140">
        <v>101.78</v>
      </c>
      <c r="G313" s="140"/>
      <c r="H313" s="130"/>
      <c r="I313" s="130"/>
      <c r="J313" s="174"/>
      <c r="K313" s="149">
        <v>2.0000000000000001E-4</v>
      </c>
    </row>
    <row r="314" spans="1:11">
      <c r="A314" s="172">
        <v>11.2</v>
      </c>
      <c r="B314" s="173" t="s">
        <v>1679</v>
      </c>
      <c r="C314" s="140"/>
      <c r="D314" s="140"/>
      <c r="E314" s="140">
        <v>41.75</v>
      </c>
      <c r="F314" s="140">
        <v>41.75</v>
      </c>
      <c r="G314" s="140"/>
      <c r="H314" s="130"/>
      <c r="I314" s="130"/>
      <c r="J314" s="174"/>
      <c r="K314" s="149">
        <v>1E-4</v>
      </c>
    </row>
    <row r="315" spans="1:11">
      <c r="A315" s="172" t="s">
        <v>1680</v>
      </c>
      <c r="B315" s="173" t="s">
        <v>1681</v>
      </c>
      <c r="C315" s="140"/>
      <c r="D315" s="140"/>
      <c r="E315" s="140">
        <v>18.02</v>
      </c>
      <c r="F315" s="140">
        <v>18.02</v>
      </c>
      <c r="G315" s="140"/>
      <c r="H315" s="130"/>
      <c r="I315" s="130"/>
      <c r="J315" s="174"/>
      <c r="K315" s="149">
        <v>0</v>
      </c>
    </row>
    <row r="316" spans="1:11">
      <c r="A316" s="172" t="s">
        <v>1682</v>
      </c>
      <c r="B316" s="173" t="s">
        <v>1683</v>
      </c>
      <c r="C316" s="140"/>
      <c r="D316" s="140"/>
      <c r="E316" s="140">
        <v>10.25</v>
      </c>
      <c r="F316" s="140">
        <v>10.25</v>
      </c>
      <c r="G316" s="140"/>
      <c r="H316" s="130"/>
      <c r="I316" s="130"/>
      <c r="J316" s="174"/>
      <c r="K316" s="149">
        <v>0</v>
      </c>
    </row>
    <row r="317" spans="1:11">
      <c r="A317" s="172" t="s">
        <v>1684</v>
      </c>
      <c r="B317" s="173" t="s">
        <v>1685</v>
      </c>
      <c r="C317" s="140"/>
      <c r="D317" s="140"/>
      <c r="E317" s="140">
        <v>13.48</v>
      </c>
      <c r="F317" s="140">
        <v>13.48</v>
      </c>
      <c r="G317" s="140"/>
      <c r="H317" s="130"/>
      <c r="I317" s="130"/>
      <c r="J317" s="174"/>
      <c r="K317" s="149">
        <v>0</v>
      </c>
    </row>
    <row r="318" spans="1:11">
      <c r="A318" s="172">
        <v>12</v>
      </c>
      <c r="B318" s="173" t="s">
        <v>1686</v>
      </c>
      <c r="C318" s="140"/>
      <c r="D318" s="140"/>
      <c r="E318" s="140">
        <v>76.319999999999993</v>
      </c>
      <c r="F318" s="140">
        <v>76.319999999999993</v>
      </c>
      <c r="G318" s="140"/>
      <c r="H318" s="140"/>
      <c r="I318" s="140"/>
      <c r="J318" s="174"/>
      <c r="K318" s="149">
        <v>1E-4</v>
      </c>
    </row>
    <row r="319" spans="1:11">
      <c r="A319" s="172">
        <v>13</v>
      </c>
      <c r="B319" s="173" t="s">
        <v>1687</v>
      </c>
      <c r="C319" s="140"/>
      <c r="D319" s="140"/>
      <c r="E319" s="140">
        <v>121.98</v>
      </c>
      <c r="F319" s="140">
        <v>121.98</v>
      </c>
      <c r="G319" s="140"/>
      <c r="H319" s="140"/>
      <c r="I319" s="140"/>
      <c r="J319" s="174"/>
      <c r="K319" s="149">
        <v>2.0000000000000001E-4</v>
      </c>
    </row>
    <row r="320" spans="1:11">
      <c r="A320" s="172">
        <v>14</v>
      </c>
      <c r="B320" s="173" t="s">
        <v>1688</v>
      </c>
      <c r="C320" s="140"/>
      <c r="D320" s="140"/>
      <c r="E320" s="140">
        <v>40</v>
      </c>
      <c r="F320" s="140">
        <v>40</v>
      </c>
      <c r="G320" s="140"/>
      <c r="H320" s="140"/>
      <c r="I320" s="140"/>
      <c r="J320" s="174"/>
      <c r="K320" s="149">
        <v>1E-4</v>
      </c>
    </row>
    <row r="321" spans="1:11">
      <c r="A321" s="172">
        <v>15</v>
      </c>
      <c r="B321" s="173" t="s">
        <v>1689</v>
      </c>
      <c r="C321" s="140"/>
      <c r="D321" s="140"/>
      <c r="E321" s="140">
        <v>8368.19</v>
      </c>
      <c r="F321" s="140">
        <v>8368.19</v>
      </c>
      <c r="G321" s="140"/>
      <c r="H321" s="140"/>
      <c r="I321" s="140"/>
      <c r="J321" s="174"/>
      <c r="K321" s="149">
        <v>1.6299999999999999E-2</v>
      </c>
    </row>
    <row r="322" spans="1:11">
      <c r="A322" s="172">
        <v>16</v>
      </c>
      <c r="B322" s="173" t="s">
        <v>1690</v>
      </c>
      <c r="C322" s="140"/>
      <c r="D322" s="140"/>
      <c r="E322" s="140">
        <v>40</v>
      </c>
      <c r="F322" s="140">
        <v>40</v>
      </c>
      <c r="G322" s="140"/>
      <c r="H322" s="140"/>
      <c r="I322" s="140"/>
      <c r="J322" s="174"/>
      <c r="K322" s="149">
        <v>1E-4</v>
      </c>
    </row>
    <row r="323" spans="1:11">
      <c r="A323" s="172">
        <v>17</v>
      </c>
      <c r="B323" s="173" t="s">
        <v>1691</v>
      </c>
      <c r="C323" s="140"/>
      <c r="D323" s="140"/>
      <c r="E323" s="140">
        <v>50</v>
      </c>
      <c r="F323" s="140">
        <v>50</v>
      </c>
      <c r="G323" s="140"/>
      <c r="H323" s="140"/>
      <c r="I323" s="140"/>
      <c r="J323" s="174"/>
      <c r="K323" s="149">
        <v>1E-4</v>
      </c>
    </row>
    <row r="324" spans="1:11">
      <c r="A324" s="172">
        <v>18</v>
      </c>
      <c r="B324" s="173" t="s">
        <v>1692</v>
      </c>
      <c r="C324" s="140"/>
      <c r="D324" s="140"/>
      <c r="E324" s="140">
        <v>100</v>
      </c>
      <c r="F324" s="140">
        <v>100</v>
      </c>
      <c r="G324" s="140"/>
      <c r="H324" s="140"/>
      <c r="I324" s="140"/>
      <c r="J324" s="174"/>
      <c r="K324" s="149">
        <v>2.0000000000000001E-4</v>
      </c>
    </row>
    <row r="325" spans="1:11">
      <c r="A325" s="172">
        <v>19</v>
      </c>
      <c r="B325" s="141" t="s">
        <v>1693</v>
      </c>
      <c r="C325" s="140"/>
      <c r="D325" s="140"/>
      <c r="E325" s="140">
        <v>2535.91</v>
      </c>
      <c r="F325" s="140">
        <v>2535.91</v>
      </c>
      <c r="G325" s="140"/>
      <c r="H325" s="140"/>
      <c r="I325" s="140"/>
      <c r="J325" s="174"/>
      <c r="K325" s="149">
        <v>4.8999999999999998E-3</v>
      </c>
    </row>
    <row r="326" spans="1:11">
      <c r="A326" s="197" t="s">
        <v>1694</v>
      </c>
      <c r="B326" s="198" t="s">
        <v>1695</v>
      </c>
      <c r="C326" s="130"/>
      <c r="D326" s="130"/>
      <c r="E326" s="130"/>
      <c r="F326" s="130">
        <v>36028.26</v>
      </c>
      <c r="G326" s="140"/>
      <c r="H326" s="173"/>
      <c r="I326" s="140"/>
      <c r="J326" s="140" t="s">
        <v>1696</v>
      </c>
      <c r="K326" s="149">
        <v>7.0199999999999999E-2</v>
      </c>
    </row>
    <row r="327" spans="1:11">
      <c r="A327" s="197" t="s">
        <v>1697</v>
      </c>
      <c r="B327" s="198" t="s">
        <v>1698</v>
      </c>
      <c r="C327" s="130"/>
      <c r="D327" s="130"/>
      <c r="E327" s="130"/>
      <c r="F327" s="130">
        <v>2300</v>
      </c>
      <c r="G327" s="140"/>
      <c r="H327" s="173"/>
      <c r="I327" s="140"/>
      <c r="J327" s="174"/>
      <c r="K327" s="149">
        <v>4.4999999999999997E-3</v>
      </c>
    </row>
    <row r="328" spans="1:11">
      <c r="A328" s="172">
        <v>1</v>
      </c>
      <c r="B328" s="173" t="s">
        <v>1699</v>
      </c>
      <c r="C328" s="130"/>
      <c r="D328" s="130"/>
      <c r="E328" s="213"/>
      <c r="F328" s="140">
        <v>1000</v>
      </c>
      <c r="G328" s="140"/>
      <c r="H328" s="173"/>
      <c r="I328" s="140"/>
      <c r="J328" s="174"/>
      <c r="K328" s="149">
        <v>1.9E-3</v>
      </c>
    </row>
    <row r="329" spans="1:11">
      <c r="A329" s="172">
        <v>2</v>
      </c>
      <c r="B329" s="173" t="s">
        <v>1700</v>
      </c>
      <c r="C329" s="130"/>
      <c r="D329" s="130"/>
      <c r="E329" s="213"/>
      <c r="F329" s="140">
        <v>600</v>
      </c>
      <c r="G329" s="140"/>
      <c r="H329" s="173"/>
      <c r="I329" s="140"/>
      <c r="J329" s="174"/>
      <c r="K329" s="149">
        <v>1.1999999999999999E-3</v>
      </c>
    </row>
    <row r="330" spans="1:11">
      <c r="A330" s="172">
        <v>3</v>
      </c>
      <c r="B330" s="173" t="s">
        <v>1701</v>
      </c>
      <c r="C330" s="130"/>
      <c r="D330" s="130"/>
      <c r="E330" s="213"/>
      <c r="F330" s="140">
        <v>700</v>
      </c>
      <c r="G330" s="140"/>
      <c r="H330" s="173"/>
      <c r="I330" s="140"/>
      <c r="J330" s="174"/>
      <c r="K330" s="149">
        <v>1.4E-3</v>
      </c>
    </row>
    <row r="331" spans="1:11">
      <c r="A331" s="197" t="s">
        <v>1702</v>
      </c>
      <c r="B331" s="198" t="s">
        <v>1703</v>
      </c>
      <c r="C331" s="130"/>
      <c r="D331" s="130"/>
      <c r="E331" s="130"/>
      <c r="F331" s="130">
        <v>488681.49</v>
      </c>
      <c r="G331" s="140"/>
      <c r="H331" s="173"/>
      <c r="I331" s="140"/>
      <c r="J331" s="174" t="s">
        <v>1704</v>
      </c>
      <c r="K331" s="149">
        <v>0.95230000000000004</v>
      </c>
    </row>
    <row r="332" spans="1:11">
      <c r="A332" s="197" t="s">
        <v>1705</v>
      </c>
      <c r="B332" s="198" t="s">
        <v>1706</v>
      </c>
      <c r="C332" s="214"/>
      <c r="D332" s="214"/>
      <c r="E332" s="214"/>
      <c r="F332" s="130">
        <v>22374</v>
      </c>
      <c r="G332" s="215"/>
      <c r="H332" s="129"/>
      <c r="I332" s="214"/>
      <c r="J332" s="140"/>
      <c r="K332" s="149">
        <v>4.36E-2</v>
      </c>
    </row>
    <row r="333" spans="1:11">
      <c r="A333" s="172">
        <v>1</v>
      </c>
      <c r="B333" s="173" t="s">
        <v>1707</v>
      </c>
      <c r="C333" s="216"/>
      <c r="D333" s="216"/>
      <c r="E333" s="216"/>
      <c r="F333" s="140">
        <v>20340</v>
      </c>
      <c r="G333" s="216"/>
      <c r="H333" s="217"/>
      <c r="I333" s="216"/>
      <c r="J333" s="174"/>
      <c r="K333" s="149">
        <v>3.9600000000000003E-2</v>
      </c>
    </row>
    <row r="334" spans="1:11">
      <c r="A334" s="172">
        <v>2</v>
      </c>
      <c r="B334" s="173" t="s">
        <v>1708</v>
      </c>
      <c r="C334" s="216"/>
      <c r="D334" s="216"/>
      <c r="E334" s="216"/>
      <c r="F334" s="140">
        <v>678</v>
      </c>
      <c r="G334" s="216"/>
      <c r="H334" s="217"/>
      <c r="I334" s="216"/>
      <c r="J334" s="174"/>
      <c r="K334" s="149">
        <v>1.2999999999999999E-3</v>
      </c>
    </row>
    <row r="335" spans="1:11">
      <c r="A335" s="172">
        <v>3</v>
      </c>
      <c r="B335" s="173" t="s">
        <v>1709</v>
      </c>
      <c r="C335" s="216"/>
      <c r="D335" s="216"/>
      <c r="E335" s="216"/>
      <c r="F335" s="140">
        <v>1356</v>
      </c>
      <c r="G335" s="216"/>
      <c r="H335" s="217"/>
      <c r="I335" s="216"/>
      <c r="J335" s="174"/>
      <c r="K335" s="149">
        <v>2.5999999999999999E-3</v>
      </c>
    </row>
    <row r="336" spans="1:11">
      <c r="A336" s="197" t="s">
        <v>1710</v>
      </c>
      <c r="B336" s="198" t="s">
        <v>1711</v>
      </c>
      <c r="C336" s="147"/>
      <c r="D336" s="147"/>
      <c r="E336" s="147"/>
      <c r="F336" s="130">
        <v>2118.39</v>
      </c>
      <c r="G336" s="147"/>
      <c r="H336" s="147"/>
      <c r="I336" s="147"/>
      <c r="J336" s="174"/>
      <c r="K336" s="149">
        <v>4.1000000000000003E-3</v>
      </c>
    </row>
    <row r="337" spans="1:11">
      <c r="A337" s="197" t="s">
        <v>1712</v>
      </c>
      <c r="B337" s="198" t="s">
        <v>1713</v>
      </c>
      <c r="C337" s="130"/>
      <c r="D337" s="130"/>
      <c r="E337" s="130"/>
      <c r="F337" s="130">
        <v>513173.89</v>
      </c>
      <c r="G337" s="140"/>
      <c r="H337" s="198"/>
      <c r="I337" s="130"/>
      <c r="J337" s="140" t="s">
        <v>1714</v>
      </c>
      <c r="K337" s="149">
        <v>1</v>
      </c>
    </row>
    <row r="338" spans="1:11">
      <c r="A338" s="218"/>
    </row>
  </sheetData>
  <mergeCells count="13">
    <mergeCell ref="L233:L248"/>
    <mergeCell ref="P3:P4"/>
    <mergeCell ref="Q3:Q4"/>
    <mergeCell ref="R3:R4"/>
    <mergeCell ref="A2:K2"/>
    <mergeCell ref="C3:F3"/>
    <mergeCell ref="G3:I3"/>
    <mergeCell ref="G4:H4"/>
    <mergeCell ref="G5:I5"/>
    <mergeCell ref="A3:A4"/>
    <mergeCell ref="B3:B4"/>
    <mergeCell ref="J3:J4"/>
    <mergeCell ref="K3:K4"/>
  </mergeCells>
  <pageMargins left="0.39305555555555599" right="0.39305555555555599" top="0.74791666666666701" bottom="0.74791666666666701" header="0.31388888888888899" footer="0.31388888888888899"/>
  <pageSetup paperSize="9" scale="7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L488"/>
  <sheetViews>
    <sheetView topLeftCell="A85" workbookViewId="0">
      <selection sqref="A1:Q1"/>
    </sheetView>
  </sheetViews>
  <sheetFormatPr defaultColWidth="9" defaultRowHeight="14.4"/>
  <cols>
    <col min="2" max="2" width="8.88671875" style="80" customWidth="1"/>
    <col min="3" max="3" width="22.77734375" style="80" customWidth="1"/>
    <col min="4" max="4" width="11.5546875" style="80" customWidth="1"/>
    <col min="5" max="5" width="12.5546875" style="80" customWidth="1"/>
    <col min="6" max="6" width="10.77734375" style="80" customWidth="1"/>
    <col min="7" max="7" width="9" style="80" customWidth="1"/>
    <col min="8" max="8" width="8.88671875" style="80" customWidth="1"/>
    <col min="9" max="9" width="9.77734375" style="80" customWidth="1"/>
    <col min="10" max="10" width="8.88671875" style="80" customWidth="1"/>
    <col min="11" max="11" width="14.5546875" style="80" customWidth="1"/>
    <col min="12" max="12" width="8.88671875" style="80" customWidth="1"/>
  </cols>
  <sheetData>
    <row r="2" spans="2:12">
      <c r="B2" s="81" t="s">
        <v>1715</v>
      </c>
    </row>
    <row r="3" spans="2:12">
      <c r="B3" s="81"/>
    </row>
    <row r="4" spans="2:12">
      <c r="B4" s="82"/>
      <c r="C4" s="83"/>
      <c r="D4" s="1217" t="s">
        <v>1716</v>
      </c>
      <c r="E4" s="1218"/>
      <c r="F4" s="1218"/>
      <c r="G4" s="1219"/>
      <c r="H4" s="1220" t="s">
        <v>1717</v>
      </c>
      <c r="I4" s="1221"/>
      <c r="J4" s="1222"/>
      <c r="K4" s="83"/>
      <c r="L4" s="83"/>
    </row>
    <row r="5" spans="2:12">
      <c r="B5" s="84" t="s">
        <v>1718</v>
      </c>
      <c r="C5" s="85" t="s">
        <v>1719</v>
      </c>
      <c r="D5" s="1253" t="s">
        <v>1720</v>
      </c>
      <c r="E5" s="87" t="s">
        <v>1721</v>
      </c>
      <c r="F5" s="1248" t="s">
        <v>1722</v>
      </c>
      <c r="G5" s="1258" t="s">
        <v>1723</v>
      </c>
      <c r="H5" s="1223" t="s">
        <v>1724</v>
      </c>
      <c r="I5" s="1224"/>
      <c r="J5" s="106" t="s">
        <v>1725</v>
      </c>
      <c r="K5" s="87" t="s">
        <v>1726</v>
      </c>
      <c r="L5" s="106" t="s">
        <v>1727</v>
      </c>
    </row>
    <row r="6" spans="2:12">
      <c r="B6" s="89"/>
      <c r="C6" s="90"/>
      <c r="D6" s="1255"/>
      <c r="E6" s="92" t="s">
        <v>1728</v>
      </c>
      <c r="F6" s="1249"/>
      <c r="G6" s="1259"/>
      <c r="H6" s="1225" t="s">
        <v>1729</v>
      </c>
      <c r="I6" s="1226"/>
      <c r="J6" s="107" t="s">
        <v>1730</v>
      </c>
      <c r="K6" s="90"/>
      <c r="L6" s="90"/>
    </row>
    <row r="7" spans="2:12" ht="14.55" customHeight="1">
      <c r="B7" s="94"/>
      <c r="C7" s="94"/>
      <c r="D7" s="95"/>
      <c r="E7" s="94"/>
      <c r="F7" s="94"/>
      <c r="G7" s="95"/>
      <c r="H7" s="1227"/>
      <c r="I7" s="1228"/>
      <c r="J7" s="1229"/>
      <c r="K7" s="109" t="s">
        <v>1731</v>
      </c>
      <c r="L7" s="106"/>
    </row>
    <row r="8" spans="2:12">
      <c r="B8" s="93">
        <v>1</v>
      </c>
      <c r="C8" s="92" t="s">
        <v>1732</v>
      </c>
      <c r="D8" s="96">
        <v>45278.13</v>
      </c>
      <c r="E8" s="92">
        <v>360</v>
      </c>
      <c r="F8" s="92">
        <v>0</v>
      </c>
      <c r="G8" s="96">
        <v>45638.13</v>
      </c>
      <c r="H8" s="97"/>
      <c r="I8" s="97"/>
      <c r="J8" s="97"/>
      <c r="K8" s="110"/>
      <c r="L8" s="111">
        <v>8.8900000000000007E-2</v>
      </c>
    </row>
    <row r="9" spans="2:12">
      <c r="B9" s="98">
        <v>1.2</v>
      </c>
      <c r="C9" s="99" t="s">
        <v>1733</v>
      </c>
      <c r="D9" s="100">
        <v>10593.86</v>
      </c>
      <c r="E9" s="99">
        <v>90</v>
      </c>
      <c r="F9" s="99">
        <v>0</v>
      </c>
      <c r="G9" s="100">
        <v>10683.86</v>
      </c>
      <c r="H9" s="99">
        <v>19474</v>
      </c>
      <c r="I9" s="100" t="s">
        <v>1734</v>
      </c>
      <c r="J9" s="99">
        <v>0.54900000000000004</v>
      </c>
      <c r="K9" s="112"/>
      <c r="L9" s="113">
        <v>2.0799999999999999E-2</v>
      </c>
    </row>
    <row r="10" spans="2:12">
      <c r="B10" s="101" t="s">
        <v>162</v>
      </c>
      <c r="C10" s="99" t="s">
        <v>1735</v>
      </c>
      <c r="D10" s="102">
        <v>97.37</v>
      </c>
      <c r="E10" s="97"/>
      <c r="F10" s="97"/>
      <c r="G10" s="102">
        <v>97.37</v>
      </c>
      <c r="H10" s="99">
        <v>19474</v>
      </c>
      <c r="I10" s="100" t="s">
        <v>1734</v>
      </c>
      <c r="J10" s="99">
        <v>5.0000000000000001E-3</v>
      </c>
      <c r="K10" s="97"/>
      <c r="L10" s="114">
        <v>2.0000000000000001E-4</v>
      </c>
    </row>
    <row r="11" spans="2:12">
      <c r="B11" s="101" t="s">
        <v>164</v>
      </c>
      <c r="C11" s="99" t="s">
        <v>1736</v>
      </c>
      <c r="D11" s="97">
        <v>116.84</v>
      </c>
      <c r="E11" s="97"/>
      <c r="F11" s="97"/>
      <c r="G11" s="97">
        <v>116.84</v>
      </c>
      <c r="H11" s="99">
        <v>19474</v>
      </c>
      <c r="I11" s="100" t="s">
        <v>1734</v>
      </c>
      <c r="J11" s="99">
        <v>6.0000000000000001E-3</v>
      </c>
      <c r="K11" s="97"/>
      <c r="L11" s="114">
        <v>2.0000000000000001E-4</v>
      </c>
    </row>
    <row r="12" spans="2:12">
      <c r="B12" s="101" t="s">
        <v>166</v>
      </c>
      <c r="C12" s="99" t="s">
        <v>1737</v>
      </c>
      <c r="D12" s="100">
        <v>4868.5</v>
      </c>
      <c r="E12" s="97"/>
      <c r="F12" s="97"/>
      <c r="G12" s="100">
        <v>4868.5</v>
      </c>
      <c r="H12" s="99">
        <v>19474</v>
      </c>
      <c r="I12" s="100" t="s">
        <v>1734</v>
      </c>
      <c r="J12" s="99">
        <v>0.25</v>
      </c>
      <c r="K12" s="97"/>
      <c r="L12" s="114">
        <v>9.4999999999999998E-3</v>
      </c>
    </row>
    <row r="13" spans="2:12">
      <c r="B13" s="101" t="s">
        <v>168</v>
      </c>
      <c r="C13" s="99" t="s">
        <v>1738</v>
      </c>
      <c r="D13" s="100">
        <v>2921.1</v>
      </c>
      <c r="E13" s="97"/>
      <c r="F13" s="97"/>
      <c r="G13" s="100">
        <v>2921.1</v>
      </c>
      <c r="H13" s="99">
        <v>19474</v>
      </c>
      <c r="I13" s="100" t="s">
        <v>1734</v>
      </c>
      <c r="J13" s="99">
        <v>0.15</v>
      </c>
      <c r="K13" s="97"/>
      <c r="L13" s="114">
        <v>5.7000000000000002E-3</v>
      </c>
    </row>
    <row r="14" spans="2:12">
      <c r="B14" s="101" t="s">
        <v>170</v>
      </c>
      <c r="C14" s="99" t="s">
        <v>1739</v>
      </c>
      <c r="D14" s="97">
        <v>292.11</v>
      </c>
      <c r="E14" s="97"/>
      <c r="F14" s="97"/>
      <c r="G14" s="97">
        <v>292.11</v>
      </c>
      <c r="H14" s="99">
        <v>19474</v>
      </c>
      <c r="I14" s="100" t="s">
        <v>1734</v>
      </c>
      <c r="J14" s="99">
        <v>1.4999999999999999E-2</v>
      </c>
      <c r="K14" s="97"/>
      <c r="L14" s="114">
        <v>5.9999999999999995E-4</v>
      </c>
    </row>
    <row r="15" spans="2:12">
      <c r="B15" s="101" t="s">
        <v>172</v>
      </c>
      <c r="C15" s="99" t="s">
        <v>1740</v>
      </c>
      <c r="D15" s="97">
        <v>778.96</v>
      </c>
      <c r="E15" s="97"/>
      <c r="F15" s="97"/>
      <c r="G15" s="97">
        <v>778.96</v>
      </c>
      <c r="H15" s="99">
        <v>19474</v>
      </c>
      <c r="I15" s="100" t="s">
        <v>1734</v>
      </c>
      <c r="J15" s="99">
        <v>0.04</v>
      </c>
      <c r="K15" s="97"/>
      <c r="L15" s="114">
        <v>1.5E-3</v>
      </c>
    </row>
    <row r="16" spans="2:12">
      <c r="B16" s="101" t="s">
        <v>174</v>
      </c>
      <c r="C16" s="99" t="s">
        <v>1741</v>
      </c>
      <c r="D16" s="100">
        <v>1363.18</v>
      </c>
      <c r="E16" s="97"/>
      <c r="F16" s="97"/>
      <c r="G16" s="100">
        <v>1363.18</v>
      </c>
      <c r="H16" s="99">
        <v>19474</v>
      </c>
      <c r="I16" s="100" t="s">
        <v>1734</v>
      </c>
      <c r="J16" s="99">
        <v>7.0000000000000007E-2</v>
      </c>
      <c r="K16" s="97"/>
      <c r="L16" s="114">
        <v>2.7000000000000001E-3</v>
      </c>
    </row>
    <row r="17" spans="2:12">
      <c r="B17" s="101" t="s">
        <v>891</v>
      </c>
      <c r="C17" s="99" t="s">
        <v>1742</v>
      </c>
      <c r="D17" s="97"/>
      <c r="E17" s="99">
        <v>90</v>
      </c>
      <c r="F17" s="97"/>
      <c r="G17" s="102">
        <v>90</v>
      </c>
      <c r="H17" s="99">
        <v>2</v>
      </c>
      <c r="I17" s="100" t="s">
        <v>1743</v>
      </c>
      <c r="J17" s="99">
        <v>45</v>
      </c>
      <c r="K17" s="97"/>
      <c r="L17" s="114">
        <v>2.0000000000000001E-4</v>
      </c>
    </row>
    <row r="18" spans="2:12">
      <c r="B18" s="101" t="s">
        <v>893</v>
      </c>
      <c r="C18" s="99" t="s">
        <v>1744</v>
      </c>
      <c r="D18" s="97">
        <v>116.84</v>
      </c>
      <c r="E18" s="97"/>
      <c r="F18" s="97"/>
      <c r="G18" s="97">
        <v>116.84</v>
      </c>
      <c r="H18" s="99">
        <v>19474</v>
      </c>
      <c r="I18" s="100" t="s">
        <v>1734</v>
      </c>
      <c r="J18" s="99">
        <v>6.0000000000000001E-3</v>
      </c>
      <c r="K18" s="97"/>
      <c r="L18" s="114">
        <v>2.0000000000000001E-4</v>
      </c>
    </row>
    <row r="19" spans="2:12">
      <c r="B19" s="101" t="s">
        <v>896</v>
      </c>
      <c r="C19" s="99" t="s">
        <v>1745</v>
      </c>
      <c r="D19" s="102">
        <v>38.950000000000003</v>
      </c>
      <c r="E19" s="97"/>
      <c r="F19" s="97"/>
      <c r="G19" s="102">
        <v>38.950000000000003</v>
      </c>
      <c r="H19" s="99">
        <v>19474</v>
      </c>
      <c r="I19" s="100" t="s">
        <v>1734</v>
      </c>
      <c r="J19" s="99">
        <v>2E-3</v>
      </c>
      <c r="K19" s="97"/>
      <c r="L19" s="114">
        <v>1E-4</v>
      </c>
    </row>
    <row r="20" spans="2:12">
      <c r="B20" s="98">
        <v>1.3</v>
      </c>
      <c r="C20" s="99" t="s">
        <v>1746</v>
      </c>
      <c r="D20" s="100">
        <v>10593.86</v>
      </c>
      <c r="E20" s="99">
        <v>90</v>
      </c>
      <c r="F20" s="99">
        <v>0</v>
      </c>
      <c r="G20" s="100">
        <v>10683.86</v>
      </c>
      <c r="H20" s="99">
        <v>19474</v>
      </c>
      <c r="I20" s="100" t="s">
        <v>1734</v>
      </c>
      <c r="J20" s="99">
        <v>0.54900000000000004</v>
      </c>
      <c r="K20" s="1230">
        <v>2.0799999999999999E-2</v>
      </c>
      <c r="L20" s="1231"/>
    </row>
    <row r="21" spans="2:12">
      <c r="B21" s="101" t="s">
        <v>903</v>
      </c>
      <c r="C21" s="99" t="s">
        <v>1735</v>
      </c>
      <c r="D21" s="102">
        <v>97.37</v>
      </c>
      <c r="E21" s="97"/>
      <c r="F21" s="97"/>
      <c r="G21" s="102">
        <v>97.37</v>
      </c>
      <c r="H21" s="99">
        <v>19474</v>
      </c>
      <c r="I21" s="100" t="s">
        <v>1734</v>
      </c>
      <c r="J21" s="99">
        <v>5.0000000000000001E-3</v>
      </c>
      <c r="K21" s="97"/>
      <c r="L21" s="114">
        <v>2.0000000000000001E-4</v>
      </c>
    </row>
    <row r="22" spans="2:12">
      <c r="B22" s="101" t="s">
        <v>904</v>
      </c>
      <c r="C22" s="99" t="s">
        <v>1736</v>
      </c>
      <c r="D22" s="97">
        <v>116.84</v>
      </c>
      <c r="E22" s="97"/>
      <c r="F22" s="97"/>
      <c r="G22" s="97">
        <v>116.84</v>
      </c>
      <c r="H22" s="99">
        <v>19474</v>
      </c>
      <c r="I22" s="100" t="s">
        <v>1734</v>
      </c>
      <c r="J22" s="99">
        <v>6.0000000000000001E-3</v>
      </c>
      <c r="K22" s="97"/>
      <c r="L22" s="114">
        <v>2.0000000000000001E-4</v>
      </c>
    </row>
    <row r="23" spans="2:12">
      <c r="B23" s="101" t="s">
        <v>905</v>
      </c>
      <c r="C23" s="99" t="s">
        <v>1737</v>
      </c>
      <c r="D23" s="100">
        <v>4868.5</v>
      </c>
      <c r="E23" s="97"/>
      <c r="F23" s="97"/>
      <c r="G23" s="100">
        <v>4868.5</v>
      </c>
      <c r="H23" s="99">
        <v>19474</v>
      </c>
      <c r="I23" s="100" t="s">
        <v>1734</v>
      </c>
      <c r="J23" s="99">
        <v>0.25</v>
      </c>
      <c r="K23" s="97"/>
      <c r="L23" s="114">
        <v>9.4999999999999998E-3</v>
      </c>
    </row>
    <row r="24" spans="2:12">
      <c r="B24" s="101" t="s">
        <v>906</v>
      </c>
      <c r="C24" s="99" t="s">
        <v>1738</v>
      </c>
      <c r="D24" s="100">
        <v>2921.1</v>
      </c>
      <c r="E24" s="97"/>
      <c r="F24" s="97"/>
      <c r="G24" s="100">
        <v>2921.1</v>
      </c>
      <c r="H24" s="99">
        <v>19474</v>
      </c>
      <c r="I24" s="100" t="s">
        <v>1734</v>
      </c>
      <c r="J24" s="99">
        <v>0.15</v>
      </c>
      <c r="K24" s="97"/>
      <c r="L24" s="114">
        <v>5.7000000000000002E-3</v>
      </c>
    </row>
    <row r="25" spans="2:12">
      <c r="B25" s="101" t="s">
        <v>907</v>
      </c>
      <c r="C25" s="99" t="s">
        <v>1739</v>
      </c>
      <c r="D25" s="97">
        <v>292.11</v>
      </c>
      <c r="E25" s="97"/>
      <c r="F25" s="97"/>
      <c r="G25" s="97">
        <v>292.11</v>
      </c>
      <c r="H25" s="99">
        <v>19474</v>
      </c>
      <c r="I25" s="100" t="s">
        <v>1734</v>
      </c>
      <c r="J25" s="99">
        <v>1.4999999999999999E-2</v>
      </c>
      <c r="K25" s="97"/>
      <c r="L25" s="114">
        <v>5.9999999999999995E-4</v>
      </c>
    </row>
    <row r="26" spans="2:12">
      <c r="B26" s="101" t="s">
        <v>908</v>
      </c>
      <c r="C26" s="99" t="s">
        <v>1740</v>
      </c>
      <c r="D26" s="97">
        <v>778.96</v>
      </c>
      <c r="E26" s="97"/>
      <c r="F26" s="97"/>
      <c r="G26" s="97">
        <v>778.96</v>
      </c>
      <c r="H26" s="99">
        <v>19474</v>
      </c>
      <c r="I26" s="100" t="s">
        <v>1734</v>
      </c>
      <c r="J26" s="99">
        <v>0.04</v>
      </c>
      <c r="K26" s="97"/>
      <c r="L26" s="114">
        <v>1.5E-3</v>
      </c>
    </row>
    <row r="27" spans="2:12">
      <c r="B27" s="101" t="s">
        <v>909</v>
      </c>
      <c r="C27" s="99" t="s">
        <v>1741</v>
      </c>
      <c r="D27" s="100">
        <v>1363.18</v>
      </c>
      <c r="E27" s="97"/>
      <c r="F27" s="97"/>
      <c r="G27" s="100">
        <v>1363.18</v>
      </c>
      <c r="H27" s="99">
        <v>19474</v>
      </c>
      <c r="I27" s="100" t="s">
        <v>1734</v>
      </c>
      <c r="J27" s="99">
        <v>7.0000000000000007E-2</v>
      </c>
      <c r="K27" s="97"/>
      <c r="L27" s="114">
        <v>2.7000000000000001E-3</v>
      </c>
    </row>
    <row r="28" spans="2:12">
      <c r="B28" s="101" t="s">
        <v>910</v>
      </c>
      <c r="C28" s="99" t="s">
        <v>1742</v>
      </c>
      <c r="D28" s="97"/>
      <c r="E28" s="99">
        <v>90</v>
      </c>
      <c r="F28" s="97"/>
      <c r="G28" s="102">
        <v>90</v>
      </c>
      <c r="H28" s="99">
        <v>2</v>
      </c>
      <c r="I28" s="100" t="s">
        <v>1743</v>
      </c>
      <c r="J28" s="99">
        <v>45</v>
      </c>
      <c r="K28" s="97"/>
      <c r="L28" s="114">
        <v>2.0000000000000001E-4</v>
      </c>
    </row>
    <row r="29" spans="2:12">
      <c r="B29" s="101" t="s">
        <v>911</v>
      </c>
      <c r="C29" s="99" t="s">
        <v>1744</v>
      </c>
      <c r="D29" s="97">
        <v>116.84</v>
      </c>
      <c r="E29" s="97"/>
      <c r="F29" s="97"/>
      <c r="G29" s="97">
        <v>116.84</v>
      </c>
      <c r="H29" s="99">
        <v>19474</v>
      </c>
      <c r="I29" s="100" t="s">
        <v>1734</v>
      </c>
      <c r="J29" s="99">
        <v>6.0000000000000001E-3</v>
      </c>
      <c r="K29" s="97"/>
      <c r="L29" s="114">
        <v>2.0000000000000001E-4</v>
      </c>
    </row>
    <row r="30" spans="2:12">
      <c r="B30" s="101" t="s">
        <v>912</v>
      </c>
      <c r="C30" s="99" t="s">
        <v>1745</v>
      </c>
      <c r="D30" s="102">
        <v>38.950000000000003</v>
      </c>
      <c r="E30" s="97"/>
      <c r="F30" s="97"/>
      <c r="G30" s="102">
        <v>38.950000000000003</v>
      </c>
      <c r="H30" s="99">
        <v>19474</v>
      </c>
      <c r="I30" s="100" t="s">
        <v>1734</v>
      </c>
      <c r="J30" s="99">
        <v>2E-3</v>
      </c>
      <c r="K30" s="97"/>
      <c r="L30" s="114">
        <v>1E-4</v>
      </c>
    </row>
    <row r="31" spans="2:12">
      <c r="B31" s="98">
        <v>1.4</v>
      </c>
      <c r="C31" s="99" t="s">
        <v>1747</v>
      </c>
      <c r="D31" s="100">
        <v>22880.59</v>
      </c>
      <c r="E31" s="99">
        <v>180</v>
      </c>
      <c r="F31" s="99">
        <v>0</v>
      </c>
      <c r="G31" s="100">
        <v>23060.59</v>
      </c>
      <c r="H31" s="99">
        <v>45398</v>
      </c>
      <c r="I31" s="100" t="s">
        <v>1734</v>
      </c>
      <c r="J31" s="99">
        <v>0.50800000000000001</v>
      </c>
      <c r="K31" s="1230">
        <v>4.4900000000000002E-2</v>
      </c>
      <c r="L31" s="1231"/>
    </row>
    <row r="32" spans="2:12">
      <c r="B32" s="101" t="s">
        <v>916</v>
      </c>
      <c r="C32" s="99" t="s">
        <v>1735</v>
      </c>
      <c r="D32" s="97">
        <v>226.99</v>
      </c>
      <c r="E32" s="97"/>
      <c r="F32" s="97"/>
      <c r="G32" s="97">
        <v>226.99</v>
      </c>
      <c r="H32" s="99">
        <v>45398</v>
      </c>
      <c r="I32" s="100" t="s">
        <v>1734</v>
      </c>
      <c r="J32" s="99">
        <v>5.0000000000000001E-3</v>
      </c>
      <c r="K32" s="97"/>
      <c r="L32" s="114">
        <v>4.0000000000000002E-4</v>
      </c>
    </row>
    <row r="33" spans="2:12">
      <c r="B33" s="101" t="s">
        <v>917</v>
      </c>
      <c r="C33" s="99" t="s">
        <v>1736</v>
      </c>
      <c r="D33" s="97">
        <v>272.39</v>
      </c>
      <c r="E33" s="97"/>
      <c r="F33" s="97"/>
      <c r="G33" s="97">
        <v>272.39</v>
      </c>
      <c r="H33" s="99">
        <v>45398</v>
      </c>
      <c r="I33" s="100" t="s">
        <v>1734</v>
      </c>
      <c r="J33" s="99">
        <v>6.0000000000000001E-3</v>
      </c>
      <c r="K33" s="97"/>
      <c r="L33" s="114">
        <v>5.0000000000000001E-4</v>
      </c>
    </row>
    <row r="34" spans="2:12">
      <c r="B34" s="101" t="s">
        <v>918</v>
      </c>
      <c r="C34" s="99" t="s">
        <v>1737</v>
      </c>
      <c r="D34" s="100">
        <v>10441.540000000001</v>
      </c>
      <c r="E34" s="97"/>
      <c r="F34" s="97"/>
      <c r="G34" s="100">
        <v>10441.540000000001</v>
      </c>
      <c r="H34" s="99">
        <v>45398</v>
      </c>
      <c r="I34" s="100" t="s">
        <v>1734</v>
      </c>
      <c r="J34" s="99">
        <v>0.23</v>
      </c>
      <c r="K34" s="97"/>
      <c r="L34" s="114">
        <v>2.0299999999999999E-2</v>
      </c>
    </row>
    <row r="35" spans="2:12">
      <c r="B35" s="101" t="s">
        <v>919</v>
      </c>
      <c r="C35" s="99" t="s">
        <v>1738</v>
      </c>
      <c r="D35" s="100">
        <v>5901.74</v>
      </c>
      <c r="E35" s="97"/>
      <c r="F35" s="97"/>
      <c r="G35" s="100">
        <v>5901.74</v>
      </c>
      <c r="H35" s="99">
        <v>45398</v>
      </c>
      <c r="I35" s="100" t="s">
        <v>1734</v>
      </c>
      <c r="J35" s="99">
        <v>0.13</v>
      </c>
      <c r="K35" s="97"/>
      <c r="L35" s="114">
        <v>1.15E-2</v>
      </c>
    </row>
    <row r="36" spans="2:12">
      <c r="B36" s="101" t="s">
        <v>920</v>
      </c>
      <c r="C36" s="99" t="s">
        <v>1739</v>
      </c>
      <c r="D36" s="97">
        <v>680.97</v>
      </c>
      <c r="E36" s="97"/>
      <c r="F36" s="97"/>
      <c r="G36" s="97">
        <v>680.97</v>
      </c>
      <c r="H36" s="99">
        <v>45398</v>
      </c>
      <c r="I36" s="100" t="s">
        <v>1734</v>
      </c>
      <c r="J36" s="99">
        <v>1.4999999999999999E-2</v>
      </c>
      <c r="K36" s="97"/>
      <c r="L36" s="114">
        <v>1.2999999999999999E-3</v>
      </c>
    </row>
    <row r="37" spans="2:12">
      <c r="B37" s="101" t="s">
        <v>921</v>
      </c>
      <c r="C37" s="99" t="s">
        <v>1740</v>
      </c>
      <c r="D37" s="100">
        <v>1815.92</v>
      </c>
      <c r="E37" s="97"/>
      <c r="F37" s="97"/>
      <c r="G37" s="100">
        <v>1815.92</v>
      </c>
      <c r="H37" s="99">
        <v>45398</v>
      </c>
      <c r="I37" s="100" t="s">
        <v>1734</v>
      </c>
      <c r="J37" s="99">
        <v>0.04</v>
      </c>
      <c r="K37" s="97"/>
      <c r="L37" s="114">
        <v>3.5000000000000001E-3</v>
      </c>
    </row>
    <row r="38" spans="2:12">
      <c r="B38" s="101" t="s">
        <v>922</v>
      </c>
      <c r="C38" s="99" t="s">
        <v>1741</v>
      </c>
      <c r="D38" s="100">
        <v>3177.86</v>
      </c>
      <c r="E38" s="97"/>
      <c r="F38" s="97"/>
      <c r="G38" s="100">
        <v>3177.86</v>
      </c>
      <c r="H38" s="99">
        <v>45398</v>
      </c>
      <c r="I38" s="100" t="s">
        <v>1734</v>
      </c>
      <c r="J38" s="99">
        <v>7.0000000000000007E-2</v>
      </c>
      <c r="K38" s="97"/>
      <c r="L38" s="114">
        <v>6.1999999999999998E-3</v>
      </c>
    </row>
    <row r="39" spans="2:12">
      <c r="B39" s="101" t="s">
        <v>923</v>
      </c>
      <c r="C39" s="99" t="s">
        <v>1742</v>
      </c>
      <c r="D39" s="97"/>
      <c r="E39" s="99">
        <v>180</v>
      </c>
      <c r="F39" s="97"/>
      <c r="G39" s="97">
        <v>180</v>
      </c>
      <c r="H39" s="99">
        <v>4</v>
      </c>
      <c r="I39" s="100" t="s">
        <v>1743</v>
      </c>
      <c r="J39" s="99">
        <v>45</v>
      </c>
      <c r="K39" s="97"/>
      <c r="L39" s="114">
        <v>4.0000000000000002E-4</v>
      </c>
    </row>
    <row r="40" spans="2:12">
      <c r="B40" s="101" t="s">
        <v>924</v>
      </c>
      <c r="C40" s="99" t="s">
        <v>1744</v>
      </c>
      <c r="D40" s="97">
        <v>272.39</v>
      </c>
      <c r="E40" s="97"/>
      <c r="F40" s="97"/>
      <c r="G40" s="97">
        <v>272.39</v>
      </c>
      <c r="H40" s="99">
        <v>45398</v>
      </c>
      <c r="I40" s="100" t="s">
        <v>1734</v>
      </c>
      <c r="J40" s="99">
        <v>6.0000000000000001E-3</v>
      </c>
      <c r="K40" s="97"/>
      <c r="L40" s="114">
        <v>5.0000000000000001E-4</v>
      </c>
    </row>
    <row r="41" spans="2:12">
      <c r="B41" s="101" t="s">
        <v>925</v>
      </c>
      <c r="C41" s="99" t="s">
        <v>1745</v>
      </c>
      <c r="D41" s="99">
        <v>90.8</v>
      </c>
      <c r="E41" s="97"/>
      <c r="F41" s="97"/>
      <c r="G41" s="102">
        <v>90.8</v>
      </c>
      <c r="H41" s="99">
        <v>45398</v>
      </c>
      <c r="I41" s="100" t="s">
        <v>1734</v>
      </c>
      <c r="J41" s="99">
        <v>2E-3</v>
      </c>
      <c r="K41" s="97"/>
      <c r="L41" s="114">
        <v>2.0000000000000001E-4</v>
      </c>
    </row>
    <row r="42" spans="2:12">
      <c r="B42" s="98">
        <v>1.5</v>
      </c>
      <c r="C42" s="99" t="s">
        <v>1748</v>
      </c>
      <c r="D42" s="99">
        <v>481.62</v>
      </c>
      <c r="E42" s="97"/>
      <c r="F42" s="97"/>
      <c r="G42" s="100">
        <v>481.62</v>
      </c>
      <c r="H42" s="99">
        <v>949</v>
      </c>
      <c r="I42" s="100" t="s">
        <v>1734</v>
      </c>
      <c r="J42" s="99">
        <v>0.50800000000000001</v>
      </c>
      <c r="K42" s="1230">
        <v>8.9999999999999998E-4</v>
      </c>
      <c r="L42" s="1231"/>
    </row>
    <row r="43" spans="2:12">
      <c r="B43" s="101" t="s">
        <v>929</v>
      </c>
      <c r="C43" s="99" t="s">
        <v>1735</v>
      </c>
      <c r="D43" s="99">
        <v>3.32</v>
      </c>
      <c r="E43" s="97"/>
      <c r="F43" s="97"/>
      <c r="G43" s="99">
        <v>3.32</v>
      </c>
      <c r="H43" s="99">
        <v>949</v>
      </c>
      <c r="I43" s="100" t="s">
        <v>1734</v>
      </c>
      <c r="J43" s="99">
        <v>4.0000000000000001E-3</v>
      </c>
      <c r="K43" s="97"/>
      <c r="L43" s="114">
        <v>0</v>
      </c>
    </row>
    <row r="44" spans="2:12">
      <c r="B44" s="101" t="s">
        <v>930</v>
      </c>
      <c r="C44" s="99" t="s">
        <v>1737</v>
      </c>
      <c r="D44" s="99">
        <v>455.52</v>
      </c>
      <c r="E44" s="97"/>
      <c r="F44" s="97"/>
      <c r="G44" s="100">
        <v>455.52</v>
      </c>
      <c r="H44" s="99">
        <v>949</v>
      </c>
      <c r="I44" s="100" t="s">
        <v>1734</v>
      </c>
      <c r="J44" s="99">
        <v>0.48</v>
      </c>
      <c r="K44" s="97"/>
      <c r="L44" s="114">
        <v>8.9999999999999998E-4</v>
      </c>
    </row>
    <row r="45" spans="2:12">
      <c r="B45" s="101" t="s">
        <v>931</v>
      </c>
      <c r="C45" s="99" t="s">
        <v>1739</v>
      </c>
      <c r="D45" s="99">
        <v>2.85</v>
      </c>
      <c r="E45" s="97"/>
      <c r="F45" s="97"/>
      <c r="G45" s="99">
        <v>2.85</v>
      </c>
      <c r="H45" s="99">
        <v>949</v>
      </c>
      <c r="I45" s="100" t="s">
        <v>1734</v>
      </c>
      <c r="J45" s="99">
        <v>3.0000000000000001E-3</v>
      </c>
      <c r="K45" s="97"/>
      <c r="L45" s="114">
        <v>0</v>
      </c>
    </row>
    <row r="46" spans="2:12">
      <c r="B46" s="101" t="s">
        <v>932</v>
      </c>
      <c r="C46" s="99" t="s">
        <v>1740</v>
      </c>
      <c r="D46" s="99">
        <v>3.8</v>
      </c>
      <c r="E46" s="97"/>
      <c r="F46" s="97"/>
      <c r="G46" s="99">
        <v>3.8</v>
      </c>
      <c r="H46" s="99">
        <v>949</v>
      </c>
      <c r="I46" s="100" t="s">
        <v>1734</v>
      </c>
      <c r="J46" s="99">
        <v>4.0000000000000001E-3</v>
      </c>
      <c r="K46" s="97"/>
      <c r="L46" s="114">
        <v>0</v>
      </c>
    </row>
    <row r="47" spans="2:12">
      <c r="B47" s="101" t="s">
        <v>933</v>
      </c>
      <c r="C47" s="99" t="s">
        <v>1741</v>
      </c>
      <c r="D47" s="99">
        <v>8.5399999999999991</v>
      </c>
      <c r="E47" s="97"/>
      <c r="F47" s="97"/>
      <c r="G47" s="99">
        <v>8.5399999999999991</v>
      </c>
      <c r="H47" s="99">
        <v>949</v>
      </c>
      <c r="I47" s="100" t="s">
        <v>1734</v>
      </c>
      <c r="J47" s="99">
        <v>8.9999999999999993E-3</v>
      </c>
      <c r="K47" s="97"/>
      <c r="L47" s="114">
        <v>0</v>
      </c>
    </row>
    <row r="48" spans="2:12">
      <c r="B48" s="101" t="s">
        <v>934</v>
      </c>
      <c r="C48" s="99" t="s">
        <v>1744</v>
      </c>
      <c r="D48" s="99">
        <v>5.69</v>
      </c>
      <c r="E48" s="97"/>
      <c r="F48" s="97"/>
      <c r="G48" s="99">
        <v>5.69</v>
      </c>
      <c r="H48" s="99">
        <v>949</v>
      </c>
      <c r="I48" s="100" t="s">
        <v>1734</v>
      </c>
      <c r="J48" s="99">
        <v>6.0000000000000001E-3</v>
      </c>
      <c r="K48" s="97"/>
      <c r="L48" s="114">
        <v>0</v>
      </c>
    </row>
    <row r="49" spans="2:12">
      <c r="B49" s="101" t="s">
        <v>935</v>
      </c>
      <c r="C49" s="99" t="s">
        <v>1745</v>
      </c>
      <c r="D49" s="99">
        <v>1.9</v>
      </c>
      <c r="E49" s="97"/>
      <c r="F49" s="97"/>
      <c r="G49" s="99">
        <v>1.9</v>
      </c>
      <c r="H49" s="99">
        <v>949</v>
      </c>
      <c r="I49" s="100" t="s">
        <v>1734</v>
      </c>
      <c r="J49" s="99">
        <v>2E-3</v>
      </c>
      <c r="K49" s="97"/>
      <c r="L49" s="114">
        <v>0</v>
      </c>
    </row>
    <row r="50" spans="2:12">
      <c r="B50" s="98">
        <v>1.6</v>
      </c>
      <c r="C50" s="99" t="s">
        <v>1749</v>
      </c>
      <c r="D50" s="99">
        <v>264.41000000000003</v>
      </c>
      <c r="E50" s="97"/>
      <c r="F50" s="97"/>
      <c r="G50" s="100">
        <v>264.41000000000003</v>
      </c>
      <c r="H50" s="99">
        <v>521</v>
      </c>
      <c r="I50" s="100" t="s">
        <v>1734</v>
      </c>
      <c r="J50" s="99">
        <v>0.50800000000000001</v>
      </c>
      <c r="K50" s="1230">
        <v>5.0000000000000001E-4</v>
      </c>
      <c r="L50" s="1231"/>
    </row>
    <row r="51" spans="2:12">
      <c r="B51" s="101" t="s">
        <v>938</v>
      </c>
      <c r="C51" s="99" t="s">
        <v>1735</v>
      </c>
      <c r="D51" s="99">
        <v>1.82</v>
      </c>
      <c r="E51" s="97"/>
      <c r="F51" s="97"/>
      <c r="G51" s="99">
        <v>1.82</v>
      </c>
      <c r="H51" s="99">
        <v>521</v>
      </c>
      <c r="I51" s="100" t="s">
        <v>1734</v>
      </c>
      <c r="J51" s="99">
        <v>4.0000000000000001E-3</v>
      </c>
      <c r="K51" s="97"/>
      <c r="L51" s="114">
        <v>0</v>
      </c>
    </row>
    <row r="52" spans="2:12">
      <c r="B52" s="101" t="s">
        <v>939</v>
      </c>
      <c r="C52" s="99" t="s">
        <v>1737</v>
      </c>
      <c r="D52" s="99">
        <v>250.08</v>
      </c>
      <c r="E52" s="97"/>
      <c r="F52" s="97"/>
      <c r="G52" s="100">
        <v>250.08</v>
      </c>
      <c r="H52" s="99">
        <v>521</v>
      </c>
      <c r="I52" s="100" t="s">
        <v>1734</v>
      </c>
      <c r="J52" s="99">
        <v>0.48</v>
      </c>
      <c r="K52" s="97"/>
      <c r="L52" s="114">
        <v>5.0000000000000001E-4</v>
      </c>
    </row>
    <row r="53" spans="2:12">
      <c r="B53" s="101" t="s">
        <v>940</v>
      </c>
      <c r="C53" s="99" t="s">
        <v>1739</v>
      </c>
      <c r="D53" s="99">
        <v>1.56</v>
      </c>
      <c r="E53" s="97"/>
      <c r="F53" s="97"/>
      <c r="G53" s="99">
        <v>1.56</v>
      </c>
      <c r="H53" s="99">
        <v>521</v>
      </c>
      <c r="I53" s="100" t="s">
        <v>1734</v>
      </c>
      <c r="J53" s="99">
        <v>3.0000000000000001E-3</v>
      </c>
      <c r="K53" s="97"/>
      <c r="L53" s="114">
        <v>0</v>
      </c>
    </row>
    <row r="54" spans="2:12">
      <c r="B54" s="101" t="s">
        <v>941</v>
      </c>
      <c r="C54" s="99" t="s">
        <v>1740</v>
      </c>
      <c r="D54" s="99">
        <v>2.08</v>
      </c>
      <c r="E54" s="97"/>
      <c r="F54" s="97"/>
      <c r="G54" s="99">
        <v>2.08</v>
      </c>
      <c r="H54" s="99">
        <v>521</v>
      </c>
      <c r="I54" s="100" t="s">
        <v>1734</v>
      </c>
      <c r="J54" s="99">
        <v>4.0000000000000001E-3</v>
      </c>
      <c r="K54" s="97"/>
      <c r="L54" s="114">
        <v>0</v>
      </c>
    </row>
    <row r="55" spans="2:12">
      <c r="B55" s="101" t="s">
        <v>942</v>
      </c>
      <c r="C55" s="99" t="s">
        <v>1741</v>
      </c>
      <c r="D55" s="99">
        <v>4.6900000000000004</v>
      </c>
      <c r="E55" s="97"/>
      <c r="F55" s="97"/>
      <c r="G55" s="99">
        <v>4.6900000000000004</v>
      </c>
      <c r="H55" s="99">
        <v>521</v>
      </c>
      <c r="I55" s="100" t="s">
        <v>1734</v>
      </c>
      <c r="J55" s="99">
        <v>8.9999999999999993E-3</v>
      </c>
      <c r="K55" s="97"/>
      <c r="L55" s="114">
        <v>0</v>
      </c>
    </row>
    <row r="56" spans="2:12">
      <c r="B56" s="101" t="s">
        <v>943</v>
      </c>
      <c r="C56" s="99" t="s">
        <v>1744</v>
      </c>
      <c r="D56" s="99">
        <v>3.13</v>
      </c>
      <c r="E56" s="97"/>
      <c r="F56" s="97"/>
      <c r="G56" s="99">
        <v>3.13</v>
      </c>
      <c r="H56" s="99">
        <v>521</v>
      </c>
      <c r="I56" s="100" t="s">
        <v>1734</v>
      </c>
      <c r="J56" s="99">
        <v>6.0000000000000001E-3</v>
      </c>
      <c r="K56" s="97"/>
      <c r="L56" s="114">
        <v>0</v>
      </c>
    </row>
    <row r="57" spans="2:12">
      <c r="B57" s="101" t="s">
        <v>944</v>
      </c>
      <c r="C57" s="99" t="s">
        <v>1745</v>
      </c>
      <c r="D57" s="99">
        <v>1.04</v>
      </c>
      <c r="E57" s="97"/>
      <c r="F57" s="97"/>
      <c r="G57" s="99">
        <v>1.04</v>
      </c>
      <c r="H57" s="99">
        <v>521</v>
      </c>
      <c r="I57" s="100" t="s">
        <v>1734</v>
      </c>
      <c r="J57" s="99">
        <v>2E-3</v>
      </c>
      <c r="K57" s="97"/>
      <c r="L57" s="114">
        <v>0</v>
      </c>
    </row>
    <row r="58" spans="2:12">
      <c r="B58" s="103">
        <v>1.7</v>
      </c>
      <c r="C58" s="104" t="s">
        <v>1750</v>
      </c>
      <c r="D58" s="104">
        <v>463.8</v>
      </c>
      <c r="E58" s="103"/>
      <c r="F58" s="103"/>
      <c r="G58" s="105">
        <v>463.8</v>
      </c>
      <c r="H58" s="104">
        <v>7730</v>
      </c>
      <c r="I58" s="115" t="s">
        <v>947</v>
      </c>
      <c r="J58" s="104">
        <v>0.06</v>
      </c>
      <c r="K58" s="1232">
        <v>8.9999999999999998E-4</v>
      </c>
      <c r="L58" s="1233"/>
    </row>
    <row r="59" spans="2:12">
      <c r="B59" s="88">
        <v>2</v>
      </c>
      <c r="C59" s="88" t="s">
        <v>1751</v>
      </c>
      <c r="D59" s="86">
        <v>90687.6</v>
      </c>
      <c r="E59" s="88">
        <v>360</v>
      </c>
      <c r="F59" s="88">
        <v>0</v>
      </c>
      <c r="G59" s="86">
        <v>91047.6</v>
      </c>
      <c r="H59" s="103"/>
      <c r="I59" s="103"/>
      <c r="J59" s="103"/>
      <c r="K59" s="116"/>
      <c r="L59" s="117">
        <v>0.1774</v>
      </c>
    </row>
    <row r="60" spans="2:12">
      <c r="B60" s="98">
        <v>2.1</v>
      </c>
      <c r="C60" s="99" t="s">
        <v>1752</v>
      </c>
      <c r="D60" s="100">
        <v>19377.150000000001</v>
      </c>
      <c r="E60" s="99">
        <v>180</v>
      </c>
      <c r="F60" s="99">
        <v>0</v>
      </c>
      <c r="G60" s="100">
        <v>19557.150000000001</v>
      </c>
      <c r="H60" s="99">
        <v>39225</v>
      </c>
      <c r="I60" s="100" t="s">
        <v>1734</v>
      </c>
      <c r="J60" s="99">
        <v>0.499</v>
      </c>
      <c r="K60" s="1230">
        <v>3.8100000000000002E-2</v>
      </c>
      <c r="L60" s="1231"/>
    </row>
    <row r="61" spans="2:12">
      <c r="B61" s="101" t="s">
        <v>950</v>
      </c>
      <c r="C61" s="99" t="s">
        <v>1735</v>
      </c>
      <c r="D61" s="97">
        <v>196.13</v>
      </c>
      <c r="E61" s="97"/>
      <c r="F61" s="97"/>
      <c r="G61" s="97">
        <v>196.13</v>
      </c>
      <c r="H61" s="99">
        <v>39225</v>
      </c>
      <c r="I61" s="100" t="s">
        <v>1734</v>
      </c>
      <c r="J61" s="99">
        <v>5.0000000000000001E-3</v>
      </c>
      <c r="K61" s="97"/>
      <c r="L61" s="114">
        <v>4.0000000000000002E-4</v>
      </c>
    </row>
    <row r="62" spans="2:12">
      <c r="B62" s="101" t="s">
        <v>951</v>
      </c>
      <c r="C62" s="99" t="s">
        <v>1736</v>
      </c>
      <c r="D62" s="97">
        <v>235.35</v>
      </c>
      <c r="E62" s="97"/>
      <c r="F62" s="97"/>
      <c r="G62" s="97">
        <v>235.35</v>
      </c>
      <c r="H62" s="99">
        <v>39225</v>
      </c>
      <c r="I62" s="100" t="s">
        <v>1734</v>
      </c>
      <c r="J62" s="99">
        <v>6.0000000000000001E-3</v>
      </c>
      <c r="K62" s="97"/>
      <c r="L62" s="114">
        <v>5.0000000000000001E-4</v>
      </c>
    </row>
    <row r="63" spans="2:12">
      <c r="B63" s="101" t="s">
        <v>952</v>
      </c>
      <c r="C63" s="99" t="s">
        <v>1737</v>
      </c>
      <c r="D63" s="100">
        <v>9414</v>
      </c>
      <c r="E63" s="97"/>
      <c r="F63" s="97"/>
      <c r="G63" s="100">
        <v>9414</v>
      </c>
      <c r="H63" s="99">
        <v>39225</v>
      </c>
      <c r="I63" s="100" t="s">
        <v>1734</v>
      </c>
      <c r="J63" s="99">
        <v>0.24</v>
      </c>
      <c r="K63" s="97"/>
      <c r="L63" s="114">
        <v>1.83E-2</v>
      </c>
    </row>
    <row r="64" spans="2:12">
      <c r="B64" s="101" t="s">
        <v>953</v>
      </c>
      <c r="C64" s="99" t="s">
        <v>1738</v>
      </c>
      <c r="D64" s="100">
        <v>4707</v>
      </c>
      <c r="E64" s="97"/>
      <c r="F64" s="97"/>
      <c r="G64" s="100">
        <v>4707</v>
      </c>
      <c r="H64" s="99">
        <v>39225</v>
      </c>
      <c r="I64" s="100" t="s">
        <v>1734</v>
      </c>
      <c r="J64" s="99">
        <v>0.12</v>
      </c>
      <c r="K64" s="97"/>
      <c r="L64" s="114">
        <v>9.1999999999999998E-3</v>
      </c>
    </row>
    <row r="65" spans="2:12">
      <c r="B65" s="101" t="s">
        <v>954</v>
      </c>
      <c r="C65" s="99" t="s">
        <v>1739</v>
      </c>
      <c r="D65" s="97">
        <v>588.38</v>
      </c>
      <c r="E65" s="97"/>
      <c r="F65" s="97"/>
      <c r="G65" s="97">
        <v>588.38</v>
      </c>
      <c r="H65" s="99">
        <v>39225</v>
      </c>
      <c r="I65" s="100" t="s">
        <v>1734</v>
      </c>
      <c r="J65" s="99">
        <v>1.4999999999999999E-2</v>
      </c>
      <c r="K65" s="97"/>
      <c r="L65" s="114">
        <v>1.1000000000000001E-3</v>
      </c>
    </row>
    <row r="66" spans="2:12">
      <c r="B66" s="101" t="s">
        <v>955</v>
      </c>
      <c r="C66" s="99" t="s">
        <v>1740</v>
      </c>
      <c r="D66" s="100">
        <v>1176.75</v>
      </c>
      <c r="E66" s="97"/>
      <c r="F66" s="97"/>
      <c r="G66" s="100">
        <v>1176.75</v>
      </c>
      <c r="H66" s="99">
        <v>39225</v>
      </c>
      <c r="I66" s="100" t="s">
        <v>1734</v>
      </c>
      <c r="J66" s="99">
        <v>0.03</v>
      </c>
      <c r="K66" s="97"/>
      <c r="L66" s="114">
        <v>2.3E-3</v>
      </c>
    </row>
    <row r="67" spans="2:12">
      <c r="B67" s="101" t="s">
        <v>956</v>
      </c>
      <c r="C67" s="99" t="s">
        <v>1741</v>
      </c>
      <c r="D67" s="100">
        <v>2745.75</v>
      </c>
      <c r="E67" s="97"/>
      <c r="F67" s="97"/>
      <c r="G67" s="100">
        <v>2745.75</v>
      </c>
      <c r="H67" s="99">
        <v>39225</v>
      </c>
      <c r="I67" s="100" t="s">
        <v>1734</v>
      </c>
      <c r="J67" s="99">
        <v>7.0000000000000007E-2</v>
      </c>
      <c r="K67" s="97"/>
      <c r="L67" s="114">
        <v>5.4000000000000003E-3</v>
      </c>
    </row>
    <row r="68" spans="2:12">
      <c r="B68" s="101" t="s">
        <v>957</v>
      </c>
      <c r="C68" s="99" t="s">
        <v>1742</v>
      </c>
      <c r="D68" s="97"/>
      <c r="E68" s="99">
        <v>180</v>
      </c>
      <c r="F68" s="97"/>
      <c r="G68" s="97">
        <v>180</v>
      </c>
      <c r="H68" s="99">
        <v>4</v>
      </c>
      <c r="I68" s="100" t="s">
        <v>1743</v>
      </c>
      <c r="J68" s="99">
        <v>45</v>
      </c>
      <c r="K68" s="97"/>
      <c r="L68" s="114">
        <v>4.0000000000000002E-4</v>
      </c>
    </row>
    <row r="69" spans="2:12">
      <c r="B69" s="101" t="s">
        <v>958</v>
      </c>
      <c r="C69" s="99" t="s">
        <v>1744</v>
      </c>
      <c r="D69" s="97">
        <v>235.35</v>
      </c>
      <c r="E69" s="97"/>
      <c r="F69" s="97"/>
      <c r="G69" s="97">
        <v>235.35</v>
      </c>
      <c r="H69" s="99">
        <v>39225</v>
      </c>
      <c r="I69" s="100" t="s">
        <v>1734</v>
      </c>
      <c r="J69" s="99">
        <v>6.0000000000000001E-3</v>
      </c>
      <c r="K69" s="97"/>
      <c r="L69" s="114">
        <v>5.0000000000000001E-4</v>
      </c>
    </row>
    <row r="70" spans="2:12">
      <c r="B70" s="101" t="s">
        <v>959</v>
      </c>
      <c r="C70" s="99" t="s">
        <v>1745</v>
      </c>
      <c r="D70" s="102">
        <v>78.45</v>
      </c>
      <c r="E70" s="97"/>
      <c r="F70" s="97"/>
      <c r="G70" s="102">
        <v>78.45</v>
      </c>
      <c r="H70" s="99">
        <v>39225</v>
      </c>
      <c r="I70" s="100" t="s">
        <v>1734</v>
      </c>
      <c r="J70" s="99">
        <v>2E-3</v>
      </c>
      <c r="K70" s="97"/>
      <c r="L70" s="114">
        <v>2.0000000000000001E-4</v>
      </c>
    </row>
    <row r="71" spans="2:12" ht="14.25" customHeight="1">
      <c r="B71" s="98">
        <v>2.2000000000000002</v>
      </c>
      <c r="C71" s="99" t="s">
        <v>1753</v>
      </c>
      <c r="D71" s="100">
        <v>11200.76</v>
      </c>
      <c r="E71" s="99">
        <v>180</v>
      </c>
      <c r="F71" s="99">
        <v>0</v>
      </c>
      <c r="G71" s="100">
        <v>11380.76</v>
      </c>
      <c r="H71" s="99">
        <v>20936</v>
      </c>
      <c r="I71" s="100" t="s">
        <v>1734</v>
      </c>
      <c r="J71" s="99">
        <v>0.54400000000000004</v>
      </c>
      <c r="K71" s="112"/>
      <c r="L71" s="112">
        <v>2.2200000000000001E-2</v>
      </c>
    </row>
    <row r="72" spans="2:12">
      <c r="B72" s="101" t="s">
        <v>963</v>
      </c>
      <c r="C72" s="99" t="s">
        <v>1735</v>
      </c>
      <c r="D72" s="97">
        <v>104.68</v>
      </c>
      <c r="E72" s="97"/>
      <c r="F72" s="97"/>
      <c r="G72" s="97">
        <v>104.68</v>
      </c>
      <c r="H72" s="99">
        <v>20936</v>
      </c>
      <c r="I72" s="100" t="s">
        <v>1734</v>
      </c>
      <c r="J72" s="99">
        <v>5.0000000000000001E-3</v>
      </c>
      <c r="K72" s="97"/>
      <c r="L72" s="114">
        <v>2.0000000000000001E-4</v>
      </c>
    </row>
    <row r="73" spans="2:12">
      <c r="B73" s="101" t="s">
        <v>964</v>
      </c>
      <c r="C73" s="99" t="s">
        <v>1736</v>
      </c>
      <c r="D73" s="97">
        <v>146.55000000000001</v>
      </c>
      <c r="E73" s="97"/>
      <c r="F73" s="97"/>
      <c r="G73" s="97">
        <v>146.55000000000001</v>
      </c>
      <c r="H73" s="99">
        <v>20936</v>
      </c>
      <c r="I73" s="100" t="s">
        <v>1734</v>
      </c>
      <c r="J73" s="99">
        <v>7.0000000000000001E-3</v>
      </c>
      <c r="K73" s="97"/>
      <c r="L73" s="114">
        <v>2.9999999999999997E-4</v>
      </c>
    </row>
    <row r="74" spans="2:12">
      <c r="B74" s="101" t="s">
        <v>965</v>
      </c>
      <c r="C74" s="99" t="s">
        <v>1737</v>
      </c>
      <c r="D74" s="100">
        <v>5443.36</v>
      </c>
      <c r="E74" s="97"/>
      <c r="F74" s="97"/>
      <c r="G74" s="100">
        <v>5443.36</v>
      </c>
      <c r="H74" s="99">
        <v>20936</v>
      </c>
      <c r="I74" s="100" t="s">
        <v>1734</v>
      </c>
      <c r="J74" s="99">
        <v>0.26</v>
      </c>
      <c r="K74" s="97"/>
      <c r="L74" s="114">
        <v>1.06E-2</v>
      </c>
    </row>
    <row r="75" spans="2:12">
      <c r="B75" s="101" t="s">
        <v>966</v>
      </c>
      <c r="C75" s="99" t="s">
        <v>1738</v>
      </c>
      <c r="D75" s="100">
        <v>2931.04</v>
      </c>
      <c r="E75" s="97"/>
      <c r="F75" s="97"/>
      <c r="G75" s="100">
        <v>2931.04</v>
      </c>
      <c r="H75" s="99">
        <v>20936</v>
      </c>
      <c r="I75" s="100" t="s">
        <v>1734</v>
      </c>
      <c r="J75" s="99">
        <v>0.14000000000000001</v>
      </c>
      <c r="K75" s="97"/>
      <c r="L75" s="114">
        <v>5.7000000000000002E-3</v>
      </c>
    </row>
    <row r="76" spans="2:12">
      <c r="B76" s="101" t="s">
        <v>967</v>
      </c>
      <c r="C76" s="99" t="s">
        <v>1739</v>
      </c>
      <c r="D76" s="97">
        <v>314.04000000000002</v>
      </c>
      <c r="E76" s="97"/>
      <c r="F76" s="97"/>
      <c r="G76" s="97">
        <v>314.04000000000002</v>
      </c>
      <c r="H76" s="99">
        <v>20936</v>
      </c>
      <c r="I76" s="100" t="s">
        <v>1734</v>
      </c>
      <c r="J76" s="99">
        <v>1.4999999999999999E-2</v>
      </c>
      <c r="K76" s="97"/>
      <c r="L76" s="114">
        <v>5.9999999999999995E-4</v>
      </c>
    </row>
    <row r="77" spans="2:12">
      <c r="B77" s="101" t="s">
        <v>968</v>
      </c>
      <c r="C77" s="99" t="s">
        <v>1740</v>
      </c>
      <c r="D77" s="99">
        <v>628.08000000000004</v>
      </c>
      <c r="E77" s="97"/>
      <c r="F77" s="97"/>
      <c r="G77" s="99">
        <v>628.08000000000004</v>
      </c>
      <c r="H77" s="99">
        <v>20936</v>
      </c>
      <c r="I77" s="100" t="s">
        <v>1734</v>
      </c>
      <c r="J77" s="99">
        <v>0.03</v>
      </c>
      <c r="K77" s="97"/>
      <c r="L77" s="114">
        <v>1.1999999999999999E-3</v>
      </c>
    </row>
    <row r="78" spans="2:12">
      <c r="B78" s="101" t="s">
        <v>969</v>
      </c>
      <c r="C78" s="99" t="s">
        <v>1741</v>
      </c>
      <c r="D78" s="99">
        <v>1465.52</v>
      </c>
      <c r="E78" s="97"/>
      <c r="F78" s="97"/>
      <c r="G78" s="99">
        <v>1465.52</v>
      </c>
      <c r="H78" s="99">
        <v>20936</v>
      </c>
      <c r="I78" s="100" t="s">
        <v>1734</v>
      </c>
      <c r="J78" s="99">
        <v>7.0000000000000007E-2</v>
      </c>
      <c r="K78" s="97"/>
      <c r="L78" s="114">
        <v>2.8999999999999998E-3</v>
      </c>
    </row>
    <row r="79" spans="2:12">
      <c r="B79" s="101" t="s">
        <v>970</v>
      </c>
      <c r="C79" s="99" t="s">
        <v>1742</v>
      </c>
      <c r="D79" s="97"/>
      <c r="E79" s="99">
        <v>180</v>
      </c>
      <c r="F79" s="97"/>
      <c r="G79" s="99">
        <v>180</v>
      </c>
      <c r="H79" s="99">
        <v>4</v>
      </c>
      <c r="I79" s="100" t="s">
        <v>1743</v>
      </c>
      <c r="J79" s="99">
        <v>45</v>
      </c>
      <c r="K79" s="97"/>
      <c r="L79" s="114">
        <v>4.0000000000000002E-4</v>
      </c>
    </row>
    <row r="80" spans="2:12">
      <c r="B80" s="101" t="s">
        <v>971</v>
      </c>
      <c r="C80" s="99" t="s">
        <v>1744</v>
      </c>
      <c r="D80" s="99">
        <v>125.62</v>
      </c>
      <c r="E80" s="97"/>
      <c r="F80" s="97"/>
      <c r="G80" s="99">
        <v>125.62</v>
      </c>
      <c r="H80" s="99">
        <v>20936</v>
      </c>
      <c r="I80" s="100" t="s">
        <v>1734</v>
      </c>
      <c r="J80" s="99">
        <v>6.0000000000000001E-3</v>
      </c>
      <c r="K80" s="97"/>
      <c r="L80" s="114">
        <v>2.0000000000000001E-4</v>
      </c>
    </row>
    <row r="81" spans="2:12">
      <c r="B81" s="101" t="s">
        <v>972</v>
      </c>
      <c r="C81" s="99" t="s">
        <v>1745</v>
      </c>
      <c r="D81" s="99">
        <v>41.87</v>
      </c>
      <c r="E81" s="97"/>
      <c r="F81" s="97"/>
      <c r="G81" s="99">
        <v>41.87</v>
      </c>
      <c r="H81" s="99">
        <v>20936</v>
      </c>
      <c r="I81" s="100" t="s">
        <v>1734</v>
      </c>
      <c r="J81" s="99">
        <v>2E-3</v>
      </c>
      <c r="K81" s="97"/>
      <c r="L81" s="114">
        <v>1E-4</v>
      </c>
    </row>
    <row r="82" spans="2:12">
      <c r="B82" s="98">
        <v>2.2999999999999998</v>
      </c>
      <c r="C82" s="99" t="s">
        <v>1754</v>
      </c>
      <c r="D82" s="99">
        <v>2722.5</v>
      </c>
      <c r="E82" s="99">
        <v>0</v>
      </c>
      <c r="F82" s="99">
        <v>0</v>
      </c>
      <c r="G82" s="99">
        <v>2722.5</v>
      </c>
      <c r="H82" s="99">
        <v>4500</v>
      </c>
      <c r="I82" s="100" t="s">
        <v>1734</v>
      </c>
      <c r="J82" s="99">
        <v>0.60499999999999998</v>
      </c>
      <c r="K82" s="1230">
        <v>5.3E-3</v>
      </c>
      <c r="L82" s="1231"/>
    </row>
    <row r="83" spans="2:12">
      <c r="B83" s="101" t="s">
        <v>975</v>
      </c>
      <c r="C83" s="99" t="s">
        <v>1735</v>
      </c>
      <c r="D83" s="99">
        <v>22.5</v>
      </c>
      <c r="E83" s="97"/>
      <c r="F83" s="97"/>
      <c r="G83" s="99">
        <v>22.5</v>
      </c>
      <c r="H83" s="99">
        <v>4500</v>
      </c>
      <c r="I83" s="100" t="s">
        <v>1734</v>
      </c>
      <c r="J83" s="99">
        <v>5.0000000000000001E-3</v>
      </c>
      <c r="K83" s="97"/>
      <c r="L83" s="114">
        <v>0</v>
      </c>
    </row>
    <row r="84" spans="2:12">
      <c r="B84" s="101" t="s">
        <v>976</v>
      </c>
      <c r="C84" s="99" t="s">
        <v>1736</v>
      </c>
      <c r="D84" s="99">
        <v>31.5</v>
      </c>
      <c r="E84" s="97"/>
      <c r="F84" s="97"/>
      <c r="G84" s="99">
        <v>31.5</v>
      </c>
      <c r="H84" s="99">
        <v>4500</v>
      </c>
      <c r="I84" s="100" t="s">
        <v>1734</v>
      </c>
      <c r="J84" s="99">
        <v>7.0000000000000001E-3</v>
      </c>
      <c r="K84" s="97"/>
      <c r="L84" s="114">
        <v>1E-4</v>
      </c>
    </row>
    <row r="85" spans="2:12">
      <c r="B85" s="101" t="s">
        <v>977</v>
      </c>
      <c r="C85" s="99" t="s">
        <v>1737</v>
      </c>
      <c r="D85" s="99">
        <v>1170</v>
      </c>
      <c r="E85" s="97"/>
      <c r="F85" s="97"/>
      <c r="G85" s="99">
        <v>1170</v>
      </c>
      <c r="H85" s="99">
        <v>4500</v>
      </c>
      <c r="I85" s="100" t="s">
        <v>1734</v>
      </c>
      <c r="J85" s="99">
        <v>0.26</v>
      </c>
      <c r="K85" s="97"/>
      <c r="L85" s="114">
        <v>2.3E-3</v>
      </c>
    </row>
    <row r="86" spans="2:12">
      <c r="B86" s="101" t="s">
        <v>978</v>
      </c>
      <c r="C86" s="99" t="s">
        <v>1738</v>
      </c>
      <c r="D86" s="99">
        <v>810</v>
      </c>
      <c r="E86" s="97"/>
      <c r="F86" s="97"/>
      <c r="G86" s="99">
        <v>810</v>
      </c>
      <c r="H86" s="99">
        <v>4500</v>
      </c>
      <c r="I86" s="100" t="s">
        <v>1734</v>
      </c>
      <c r="J86" s="99">
        <v>0.18</v>
      </c>
      <c r="K86" s="97"/>
      <c r="L86" s="114">
        <v>1.6000000000000001E-3</v>
      </c>
    </row>
    <row r="87" spans="2:12">
      <c r="B87" s="101" t="s">
        <v>979</v>
      </c>
      <c r="C87" s="99" t="s">
        <v>1739</v>
      </c>
      <c r="D87" s="99">
        <v>67.5</v>
      </c>
      <c r="E87" s="97"/>
      <c r="F87" s="97"/>
      <c r="G87" s="99">
        <v>67.5</v>
      </c>
      <c r="H87" s="99">
        <v>4500</v>
      </c>
      <c r="I87" s="100" t="s">
        <v>1734</v>
      </c>
      <c r="J87" s="99">
        <v>1.4999999999999999E-2</v>
      </c>
      <c r="K87" s="97"/>
      <c r="L87" s="114">
        <v>1E-4</v>
      </c>
    </row>
    <row r="88" spans="2:12">
      <c r="B88" s="101" t="s">
        <v>980</v>
      </c>
      <c r="C88" s="99" t="s">
        <v>1740</v>
      </c>
      <c r="D88" s="99">
        <v>225</v>
      </c>
      <c r="E88" s="97"/>
      <c r="F88" s="97"/>
      <c r="G88" s="99">
        <v>225</v>
      </c>
      <c r="H88" s="99">
        <v>4500</v>
      </c>
      <c r="I88" s="100" t="s">
        <v>1734</v>
      </c>
      <c r="J88" s="99">
        <v>0.05</v>
      </c>
      <c r="K88" s="97"/>
      <c r="L88" s="114">
        <v>4.0000000000000002E-4</v>
      </c>
    </row>
    <row r="89" spans="2:12">
      <c r="B89" s="101" t="s">
        <v>981</v>
      </c>
      <c r="C89" s="99" t="s">
        <v>1741</v>
      </c>
      <c r="D89" s="99">
        <v>360</v>
      </c>
      <c r="E89" s="97"/>
      <c r="F89" s="97"/>
      <c r="G89" s="99">
        <v>360</v>
      </c>
      <c r="H89" s="99">
        <v>4500</v>
      </c>
      <c r="I89" s="100" t="s">
        <v>1734</v>
      </c>
      <c r="J89" s="99">
        <v>0.08</v>
      </c>
      <c r="K89" s="97"/>
      <c r="L89" s="114">
        <v>6.9999999999999999E-4</v>
      </c>
    </row>
    <row r="90" spans="2:12">
      <c r="B90" s="101" t="s">
        <v>982</v>
      </c>
      <c r="C90" s="99" t="s">
        <v>1742</v>
      </c>
      <c r="D90" s="97"/>
      <c r="E90" s="99">
        <v>0</v>
      </c>
      <c r="F90" s="97"/>
      <c r="G90" s="99">
        <v>0</v>
      </c>
      <c r="H90" s="99">
        <v>0</v>
      </c>
      <c r="I90" s="100" t="s">
        <v>1743</v>
      </c>
      <c r="J90" s="99">
        <v>45</v>
      </c>
      <c r="K90" s="97"/>
      <c r="L90" s="114">
        <v>0</v>
      </c>
    </row>
    <row r="91" spans="2:12">
      <c r="B91" s="101" t="s">
        <v>983</v>
      </c>
      <c r="C91" s="99" t="s">
        <v>1744</v>
      </c>
      <c r="D91" s="99">
        <v>27</v>
      </c>
      <c r="E91" s="97"/>
      <c r="F91" s="97"/>
      <c r="G91" s="99">
        <v>27</v>
      </c>
      <c r="H91" s="99">
        <v>4500</v>
      </c>
      <c r="I91" s="100" t="s">
        <v>1734</v>
      </c>
      <c r="J91" s="99">
        <v>6.0000000000000001E-3</v>
      </c>
      <c r="K91" s="97"/>
      <c r="L91" s="114">
        <v>1E-4</v>
      </c>
    </row>
    <row r="92" spans="2:12">
      <c r="B92" s="101" t="s">
        <v>984</v>
      </c>
      <c r="C92" s="99" t="s">
        <v>1745</v>
      </c>
      <c r="D92" s="99">
        <v>9</v>
      </c>
      <c r="E92" s="97"/>
      <c r="F92" s="97"/>
      <c r="G92" s="99">
        <v>9</v>
      </c>
      <c r="H92" s="99">
        <v>4500</v>
      </c>
      <c r="I92" s="100" t="s">
        <v>1734</v>
      </c>
      <c r="J92" s="99">
        <v>2E-3</v>
      </c>
      <c r="K92" s="97"/>
      <c r="L92" s="114">
        <v>0</v>
      </c>
    </row>
    <row r="93" spans="2:12">
      <c r="B93" s="98">
        <v>2.4</v>
      </c>
      <c r="C93" s="99" t="s">
        <v>1755</v>
      </c>
      <c r="D93" s="99">
        <v>9822.7000000000007</v>
      </c>
      <c r="E93" s="99">
        <v>0</v>
      </c>
      <c r="F93" s="99">
        <v>0</v>
      </c>
      <c r="G93" s="99">
        <v>9822.7000000000007</v>
      </c>
      <c r="H93" s="99">
        <v>19884</v>
      </c>
      <c r="I93" s="100" t="s">
        <v>1734</v>
      </c>
      <c r="J93" s="99">
        <v>0.49399999999999999</v>
      </c>
      <c r="K93" s="1230">
        <v>1.9099999999999999E-2</v>
      </c>
      <c r="L93" s="1231"/>
    </row>
    <row r="94" spans="2:12">
      <c r="B94" s="101" t="s">
        <v>298</v>
      </c>
      <c r="C94" s="99" t="s">
        <v>1735</v>
      </c>
      <c r="D94" s="99">
        <v>99.42</v>
      </c>
      <c r="E94" s="97"/>
      <c r="F94" s="97"/>
      <c r="G94" s="99">
        <v>99.42</v>
      </c>
      <c r="H94" s="99">
        <v>19884</v>
      </c>
      <c r="I94" s="100" t="s">
        <v>1734</v>
      </c>
      <c r="J94" s="99">
        <v>5.0000000000000001E-3</v>
      </c>
      <c r="K94" s="97"/>
      <c r="L94" s="114">
        <v>2.0000000000000001E-4</v>
      </c>
    </row>
    <row r="95" spans="2:12">
      <c r="B95" s="101" t="s">
        <v>299</v>
      </c>
      <c r="C95" s="99" t="s">
        <v>1736</v>
      </c>
      <c r="D95" s="99">
        <v>119.3</v>
      </c>
      <c r="E95" s="97"/>
      <c r="F95" s="97"/>
      <c r="G95" s="99">
        <v>119.3</v>
      </c>
      <c r="H95" s="99">
        <v>19884</v>
      </c>
      <c r="I95" s="100" t="s">
        <v>1734</v>
      </c>
      <c r="J95" s="99">
        <v>6.0000000000000001E-3</v>
      </c>
      <c r="K95" s="97"/>
      <c r="L95" s="114">
        <v>2.0000000000000001E-4</v>
      </c>
    </row>
    <row r="97" spans="2:12">
      <c r="B97" s="81"/>
    </row>
    <row r="98" spans="2:12">
      <c r="B98" s="81"/>
    </row>
    <row r="99" spans="2:12">
      <c r="B99" s="82"/>
      <c r="C99" s="83"/>
      <c r="D99" s="1217" t="s">
        <v>1716</v>
      </c>
      <c r="E99" s="1218"/>
      <c r="F99" s="1218"/>
      <c r="G99" s="1219"/>
      <c r="H99" s="1220" t="s">
        <v>1717</v>
      </c>
      <c r="I99" s="1221"/>
      <c r="J99" s="1222"/>
      <c r="K99" s="83"/>
      <c r="L99" s="83"/>
    </row>
    <row r="100" spans="2:12">
      <c r="B100" s="84" t="s">
        <v>1718</v>
      </c>
      <c r="C100" s="85" t="s">
        <v>1719</v>
      </c>
      <c r="D100" s="1248" t="s">
        <v>1720</v>
      </c>
      <c r="E100" s="87" t="s">
        <v>1721</v>
      </c>
      <c r="F100" s="1248" t="s">
        <v>1722</v>
      </c>
      <c r="G100" s="1258" t="s">
        <v>1723</v>
      </c>
      <c r="H100" s="1223" t="s">
        <v>1724</v>
      </c>
      <c r="I100" s="1224"/>
      <c r="J100" s="106" t="s">
        <v>1725</v>
      </c>
      <c r="K100" s="87" t="s">
        <v>1726</v>
      </c>
      <c r="L100" s="106" t="s">
        <v>1727</v>
      </c>
    </row>
    <row r="101" spans="2:12">
      <c r="B101" s="89"/>
      <c r="C101" s="90"/>
      <c r="D101" s="1249"/>
      <c r="E101" s="92" t="s">
        <v>1728</v>
      </c>
      <c r="F101" s="1249"/>
      <c r="G101" s="1259"/>
      <c r="H101" s="1225" t="s">
        <v>1729</v>
      </c>
      <c r="I101" s="1226"/>
      <c r="J101" s="107" t="s">
        <v>1730</v>
      </c>
      <c r="K101" s="90"/>
      <c r="L101" s="90"/>
    </row>
    <row r="102" spans="2:12">
      <c r="B102" s="101" t="s">
        <v>300</v>
      </c>
      <c r="C102" s="99" t="s">
        <v>1737</v>
      </c>
      <c r="D102" s="99">
        <v>4772.16</v>
      </c>
      <c r="E102" s="97"/>
      <c r="F102" s="97"/>
      <c r="G102" s="97">
        <v>4772.16</v>
      </c>
      <c r="H102" s="99">
        <v>19884</v>
      </c>
      <c r="I102" s="100" t="s">
        <v>1734</v>
      </c>
      <c r="J102" s="99">
        <v>0.24</v>
      </c>
      <c r="K102" s="97"/>
      <c r="L102" s="114">
        <v>9.2999999999999992E-3</v>
      </c>
    </row>
    <row r="103" spans="2:12">
      <c r="B103" s="101" t="s">
        <v>301</v>
      </c>
      <c r="C103" s="99" t="s">
        <v>1738</v>
      </c>
      <c r="D103" s="99">
        <v>2386.08</v>
      </c>
      <c r="E103" s="97"/>
      <c r="F103" s="97"/>
      <c r="G103" s="97">
        <v>2386.08</v>
      </c>
      <c r="H103" s="99">
        <v>19884</v>
      </c>
      <c r="I103" s="100" t="s">
        <v>1734</v>
      </c>
      <c r="J103" s="99">
        <v>0.12</v>
      </c>
      <c r="K103" s="97"/>
      <c r="L103" s="114">
        <v>4.5999999999999999E-3</v>
      </c>
    </row>
    <row r="104" spans="2:12">
      <c r="B104" s="101" t="s">
        <v>302</v>
      </c>
      <c r="C104" s="99" t="s">
        <v>1739</v>
      </c>
      <c r="D104" s="99">
        <v>298.26</v>
      </c>
      <c r="E104" s="97"/>
      <c r="F104" s="97"/>
      <c r="G104" s="97">
        <v>298.26</v>
      </c>
      <c r="H104" s="99">
        <v>19884</v>
      </c>
      <c r="I104" s="100" t="s">
        <v>1734</v>
      </c>
      <c r="J104" s="99">
        <v>1.4999999999999999E-2</v>
      </c>
      <c r="K104" s="97"/>
      <c r="L104" s="114">
        <v>5.9999999999999995E-4</v>
      </c>
    </row>
    <row r="105" spans="2:12">
      <c r="B105" s="101" t="s">
        <v>303</v>
      </c>
      <c r="C105" s="99" t="s">
        <v>1740</v>
      </c>
      <c r="D105" s="99">
        <v>596.52</v>
      </c>
      <c r="E105" s="97"/>
      <c r="F105" s="97"/>
      <c r="G105" s="97">
        <v>596.52</v>
      </c>
      <c r="H105" s="99">
        <v>19884</v>
      </c>
      <c r="I105" s="100" t="s">
        <v>1734</v>
      </c>
      <c r="J105" s="99">
        <v>0.03</v>
      </c>
      <c r="K105" s="97"/>
      <c r="L105" s="114">
        <v>1.1999999999999999E-3</v>
      </c>
    </row>
    <row r="106" spans="2:12">
      <c r="B106" s="101" t="s">
        <v>304</v>
      </c>
      <c r="C106" s="99" t="s">
        <v>1741</v>
      </c>
      <c r="D106" s="99">
        <v>1391.88</v>
      </c>
      <c r="E106" s="97"/>
      <c r="F106" s="97"/>
      <c r="G106" s="97">
        <v>1391.88</v>
      </c>
      <c r="H106" s="99">
        <v>19884</v>
      </c>
      <c r="I106" s="100" t="s">
        <v>1734</v>
      </c>
      <c r="J106" s="99">
        <v>7.0000000000000007E-2</v>
      </c>
      <c r="K106" s="97"/>
      <c r="L106" s="114">
        <v>2.7000000000000001E-3</v>
      </c>
    </row>
    <row r="107" spans="2:12">
      <c r="B107" s="101" t="s">
        <v>305</v>
      </c>
      <c r="C107" s="99" t="s">
        <v>1742</v>
      </c>
      <c r="D107" s="97"/>
      <c r="E107" s="99">
        <v>0</v>
      </c>
      <c r="F107" s="97"/>
      <c r="G107" s="99">
        <v>0</v>
      </c>
      <c r="H107" s="99">
        <v>0</v>
      </c>
      <c r="I107" s="100" t="s">
        <v>1743</v>
      </c>
      <c r="J107" s="99">
        <v>45</v>
      </c>
      <c r="K107" s="97"/>
      <c r="L107" s="114">
        <v>0</v>
      </c>
    </row>
    <row r="108" spans="2:12">
      <c r="B108" s="101" t="s">
        <v>987</v>
      </c>
      <c r="C108" s="99" t="s">
        <v>1744</v>
      </c>
      <c r="D108" s="99">
        <v>119.3</v>
      </c>
      <c r="E108" s="97"/>
      <c r="F108" s="97"/>
      <c r="G108" s="97">
        <v>119.3</v>
      </c>
      <c r="H108" s="99">
        <v>19884</v>
      </c>
      <c r="I108" s="100" t="s">
        <v>1734</v>
      </c>
      <c r="J108" s="99">
        <v>6.0000000000000001E-3</v>
      </c>
      <c r="K108" s="97"/>
      <c r="L108" s="114">
        <v>2.0000000000000001E-4</v>
      </c>
    </row>
    <row r="109" spans="2:12">
      <c r="B109" s="101" t="s">
        <v>988</v>
      </c>
      <c r="C109" s="99" t="s">
        <v>1745</v>
      </c>
      <c r="D109" s="99">
        <v>39.770000000000003</v>
      </c>
      <c r="E109" s="97"/>
      <c r="F109" s="97"/>
      <c r="G109" s="102">
        <v>39.770000000000003</v>
      </c>
      <c r="H109" s="99">
        <v>19884</v>
      </c>
      <c r="I109" s="100" t="s">
        <v>1734</v>
      </c>
      <c r="J109" s="99">
        <v>2E-3</v>
      </c>
      <c r="K109" s="97"/>
      <c r="L109" s="114">
        <v>1E-4</v>
      </c>
    </row>
    <row r="110" spans="2:12">
      <c r="B110" s="98">
        <v>2.5</v>
      </c>
      <c r="C110" s="99" t="s">
        <v>1756</v>
      </c>
      <c r="D110" s="99">
        <v>9822.7000000000007</v>
      </c>
      <c r="E110" s="99">
        <v>0</v>
      </c>
      <c r="F110" s="99">
        <v>0</v>
      </c>
      <c r="G110" s="97">
        <v>9822.7000000000007</v>
      </c>
      <c r="H110" s="99">
        <v>19884</v>
      </c>
      <c r="I110" s="100" t="s">
        <v>1734</v>
      </c>
      <c r="J110" s="99">
        <v>0.49399999999999999</v>
      </c>
      <c r="K110" s="1230">
        <v>1.9099999999999999E-2</v>
      </c>
      <c r="L110" s="1231"/>
    </row>
    <row r="111" spans="2:12">
      <c r="B111" s="101" t="s">
        <v>307</v>
      </c>
      <c r="C111" s="99" t="s">
        <v>1735</v>
      </c>
      <c r="D111" s="99">
        <v>99.42</v>
      </c>
      <c r="E111" s="97"/>
      <c r="F111" s="97"/>
      <c r="G111" s="102">
        <v>99.42</v>
      </c>
      <c r="H111" s="99">
        <v>19884</v>
      </c>
      <c r="I111" s="100" t="s">
        <v>1734</v>
      </c>
      <c r="J111" s="99">
        <v>5.0000000000000001E-3</v>
      </c>
      <c r="K111" s="97"/>
      <c r="L111" s="114">
        <v>2.0000000000000001E-4</v>
      </c>
    </row>
    <row r="112" spans="2:12">
      <c r="B112" s="101" t="s">
        <v>308</v>
      </c>
      <c r="C112" s="99" t="s">
        <v>1736</v>
      </c>
      <c r="D112" s="99">
        <v>119.3</v>
      </c>
      <c r="E112" s="97"/>
      <c r="F112" s="97"/>
      <c r="G112" s="97">
        <v>119.3</v>
      </c>
      <c r="H112" s="99">
        <v>19884</v>
      </c>
      <c r="I112" s="100" t="s">
        <v>1734</v>
      </c>
      <c r="J112" s="99">
        <v>6.0000000000000001E-3</v>
      </c>
      <c r="K112" s="97"/>
      <c r="L112" s="114">
        <v>2.0000000000000001E-4</v>
      </c>
    </row>
    <row r="113" spans="2:12">
      <c r="B113" s="101" t="s">
        <v>309</v>
      </c>
      <c r="C113" s="99" t="s">
        <v>1737</v>
      </c>
      <c r="D113" s="99">
        <v>4772.16</v>
      </c>
      <c r="E113" s="97"/>
      <c r="F113" s="97"/>
      <c r="G113" s="97">
        <v>4772.16</v>
      </c>
      <c r="H113" s="99">
        <v>19884</v>
      </c>
      <c r="I113" s="100" t="s">
        <v>1734</v>
      </c>
      <c r="J113" s="99">
        <v>0.24</v>
      </c>
      <c r="K113" s="97"/>
      <c r="L113" s="114">
        <v>9.2999999999999992E-3</v>
      </c>
    </row>
    <row r="114" spans="2:12">
      <c r="B114" s="101" t="s">
        <v>310</v>
      </c>
      <c r="C114" s="99" t="s">
        <v>1738</v>
      </c>
      <c r="D114" s="99">
        <v>2386.08</v>
      </c>
      <c r="E114" s="97"/>
      <c r="F114" s="97"/>
      <c r="G114" s="97">
        <v>2386.08</v>
      </c>
      <c r="H114" s="99">
        <v>19884</v>
      </c>
      <c r="I114" s="100" t="s">
        <v>1734</v>
      </c>
      <c r="J114" s="99">
        <v>0.12</v>
      </c>
      <c r="K114" s="97"/>
      <c r="L114" s="114">
        <v>4.5999999999999999E-3</v>
      </c>
    </row>
    <row r="115" spans="2:12">
      <c r="B115" s="101" t="s">
        <v>311</v>
      </c>
      <c r="C115" s="99" t="s">
        <v>1739</v>
      </c>
      <c r="D115" s="99">
        <v>298.26</v>
      </c>
      <c r="E115" s="97"/>
      <c r="F115" s="97"/>
      <c r="G115" s="97">
        <v>298.26</v>
      </c>
      <c r="H115" s="99">
        <v>19884</v>
      </c>
      <c r="I115" s="100" t="s">
        <v>1734</v>
      </c>
      <c r="J115" s="99">
        <v>1.4999999999999999E-2</v>
      </c>
      <c r="K115" s="97"/>
      <c r="L115" s="114">
        <v>5.9999999999999995E-4</v>
      </c>
    </row>
    <row r="116" spans="2:12">
      <c r="B116" s="101" t="s">
        <v>312</v>
      </c>
      <c r="C116" s="99" t="s">
        <v>1740</v>
      </c>
      <c r="D116" s="99">
        <v>596.52</v>
      </c>
      <c r="E116" s="97"/>
      <c r="F116" s="97"/>
      <c r="G116" s="97">
        <v>596.52</v>
      </c>
      <c r="H116" s="99">
        <v>19884</v>
      </c>
      <c r="I116" s="100" t="s">
        <v>1734</v>
      </c>
      <c r="J116" s="99">
        <v>0.03</v>
      </c>
      <c r="K116" s="97"/>
      <c r="L116" s="114">
        <v>1.1999999999999999E-3</v>
      </c>
    </row>
    <row r="117" spans="2:12">
      <c r="B117" s="101" t="s">
        <v>313</v>
      </c>
      <c r="C117" s="99" t="s">
        <v>1741</v>
      </c>
      <c r="D117" s="99">
        <v>1391.88</v>
      </c>
      <c r="E117" s="97"/>
      <c r="F117" s="97"/>
      <c r="G117" s="97">
        <v>1391.88</v>
      </c>
      <c r="H117" s="99">
        <v>19884</v>
      </c>
      <c r="I117" s="100" t="s">
        <v>1734</v>
      </c>
      <c r="J117" s="99">
        <v>7.0000000000000007E-2</v>
      </c>
      <c r="K117" s="97"/>
      <c r="L117" s="114">
        <v>2.7000000000000001E-3</v>
      </c>
    </row>
    <row r="118" spans="2:12">
      <c r="B118" s="101" t="s">
        <v>314</v>
      </c>
      <c r="C118" s="99" t="s">
        <v>1742</v>
      </c>
      <c r="D118" s="97"/>
      <c r="E118" s="99">
        <v>0</v>
      </c>
      <c r="F118" s="97"/>
      <c r="G118" s="99">
        <v>0</v>
      </c>
      <c r="H118" s="99">
        <v>0</v>
      </c>
      <c r="I118" s="100" t="s">
        <v>1743</v>
      </c>
      <c r="J118" s="99">
        <v>45</v>
      </c>
      <c r="K118" s="97"/>
      <c r="L118" s="114">
        <v>0</v>
      </c>
    </row>
    <row r="119" spans="2:12">
      <c r="B119" s="101" t="s">
        <v>990</v>
      </c>
      <c r="C119" s="99" t="s">
        <v>1744</v>
      </c>
      <c r="D119" s="99">
        <v>119.3</v>
      </c>
      <c r="E119" s="97"/>
      <c r="F119" s="97"/>
      <c r="G119" s="97">
        <v>119.3</v>
      </c>
      <c r="H119" s="99">
        <v>19884</v>
      </c>
      <c r="I119" s="100" t="s">
        <v>1734</v>
      </c>
      <c r="J119" s="99">
        <v>6.0000000000000001E-3</v>
      </c>
      <c r="K119" s="97"/>
      <c r="L119" s="114">
        <v>2.0000000000000001E-4</v>
      </c>
    </row>
    <row r="121" spans="2:12">
      <c r="B121" s="81"/>
    </row>
    <row r="122" spans="2:12">
      <c r="B122" s="81"/>
    </row>
    <row r="123" spans="2:12">
      <c r="B123" s="82"/>
      <c r="C123" s="83"/>
      <c r="D123" s="1217" t="s">
        <v>1716</v>
      </c>
      <c r="E123" s="1218"/>
      <c r="F123" s="1218"/>
      <c r="G123" s="1219"/>
      <c r="H123" s="1220" t="s">
        <v>1717</v>
      </c>
      <c r="I123" s="1221"/>
      <c r="J123" s="1222"/>
      <c r="K123" s="83"/>
      <c r="L123" s="83"/>
    </row>
    <row r="124" spans="2:12">
      <c r="B124" s="84" t="s">
        <v>1718</v>
      </c>
      <c r="C124" s="85" t="s">
        <v>1719</v>
      </c>
      <c r="D124" s="1248" t="s">
        <v>1720</v>
      </c>
      <c r="E124" s="87" t="s">
        <v>1721</v>
      </c>
      <c r="F124" s="1248" t="s">
        <v>1722</v>
      </c>
      <c r="G124" s="1248" t="s">
        <v>1723</v>
      </c>
      <c r="H124" s="1223" t="s">
        <v>1724</v>
      </c>
      <c r="I124" s="1224"/>
      <c r="J124" s="106" t="s">
        <v>1725</v>
      </c>
      <c r="K124" s="87" t="s">
        <v>1726</v>
      </c>
      <c r="L124" s="106" t="s">
        <v>1727</v>
      </c>
    </row>
    <row r="125" spans="2:12">
      <c r="B125" s="89"/>
      <c r="C125" s="90"/>
      <c r="D125" s="1249"/>
      <c r="E125" s="92" t="s">
        <v>1728</v>
      </c>
      <c r="F125" s="1249"/>
      <c r="G125" s="1249"/>
      <c r="H125" s="1225" t="s">
        <v>1729</v>
      </c>
      <c r="I125" s="1226"/>
      <c r="J125" s="107" t="s">
        <v>1730</v>
      </c>
      <c r="K125" s="90"/>
      <c r="L125" s="90"/>
    </row>
    <row r="126" spans="2:12">
      <c r="B126" s="101" t="s">
        <v>991</v>
      </c>
      <c r="C126" s="99" t="s">
        <v>1745</v>
      </c>
      <c r="D126" s="99">
        <v>39.770000000000003</v>
      </c>
      <c r="E126" s="97"/>
      <c r="F126" s="97"/>
      <c r="G126" s="99">
        <v>39.770000000000003</v>
      </c>
      <c r="H126" s="99">
        <v>19884</v>
      </c>
      <c r="I126" s="100" t="s">
        <v>1734</v>
      </c>
      <c r="J126" s="99">
        <v>2E-3</v>
      </c>
      <c r="K126" s="97"/>
      <c r="L126" s="114">
        <v>1E-4</v>
      </c>
    </row>
    <row r="127" spans="2:12">
      <c r="B127" s="98">
        <v>2.6</v>
      </c>
      <c r="C127" s="99" t="s">
        <v>1757</v>
      </c>
      <c r="D127" s="99">
        <v>6862.1</v>
      </c>
      <c r="E127" s="99">
        <v>0</v>
      </c>
      <c r="F127" s="99">
        <v>0</v>
      </c>
      <c r="G127" s="99">
        <v>6862.1</v>
      </c>
      <c r="H127" s="99">
        <v>12591</v>
      </c>
      <c r="I127" s="100" t="s">
        <v>1734</v>
      </c>
      <c r="J127" s="99">
        <v>0.54500000000000004</v>
      </c>
      <c r="K127" s="1230">
        <v>1.34E-2</v>
      </c>
      <c r="L127" s="1231"/>
    </row>
    <row r="128" spans="2:12">
      <c r="B128" s="101" t="s">
        <v>316</v>
      </c>
      <c r="C128" s="99" t="s">
        <v>1735</v>
      </c>
      <c r="D128" s="99">
        <v>62.96</v>
      </c>
      <c r="E128" s="97"/>
      <c r="F128" s="97"/>
      <c r="G128" s="99">
        <v>62.96</v>
      </c>
      <c r="H128" s="99">
        <v>12591</v>
      </c>
      <c r="I128" s="100" t="s">
        <v>1734</v>
      </c>
      <c r="J128" s="99">
        <v>5.0000000000000001E-3</v>
      </c>
      <c r="K128" s="97"/>
      <c r="L128" s="114">
        <v>1E-4</v>
      </c>
    </row>
    <row r="129" spans="2:12">
      <c r="B129" s="101" t="s">
        <v>317</v>
      </c>
      <c r="C129" s="99" t="s">
        <v>1736</v>
      </c>
      <c r="D129" s="99">
        <v>88.14</v>
      </c>
      <c r="E129" s="97"/>
      <c r="F129" s="97"/>
      <c r="G129" s="99">
        <v>88.14</v>
      </c>
      <c r="H129" s="99">
        <v>12591</v>
      </c>
      <c r="I129" s="100" t="s">
        <v>1734</v>
      </c>
      <c r="J129" s="99">
        <v>7.0000000000000001E-3</v>
      </c>
      <c r="K129" s="97"/>
      <c r="L129" s="114">
        <v>2.0000000000000001E-4</v>
      </c>
    </row>
    <row r="130" spans="2:12">
      <c r="B130" s="101" t="s">
        <v>318</v>
      </c>
      <c r="C130" s="99" t="s">
        <v>1737</v>
      </c>
      <c r="D130" s="99">
        <v>3147.75</v>
      </c>
      <c r="E130" s="97"/>
      <c r="F130" s="97"/>
      <c r="G130" s="99">
        <v>3147.75</v>
      </c>
      <c r="H130" s="99">
        <v>12591</v>
      </c>
      <c r="I130" s="100" t="s">
        <v>1734</v>
      </c>
      <c r="J130" s="99">
        <v>0.25</v>
      </c>
      <c r="K130" s="97"/>
      <c r="L130" s="114">
        <v>6.1000000000000004E-3</v>
      </c>
    </row>
    <row r="131" spans="2:12">
      <c r="B131" s="101" t="s">
        <v>319</v>
      </c>
      <c r="C131" s="99" t="s">
        <v>1738</v>
      </c>
      <c r="D131" s="99">
        <v>1888.65</v>
      </c>
      <c r="E131" s="97"/>
      <c r="F131" s="97"/>
      <c r="G131" s="99">
        <v>1888.65</v>
      </c>
      <c r="H131" s="99">
        <v>12591</v>
      </c>
      <c r="I131" s="100" t="s">
        <v>1734</v>
      </c>
      <c r="J131" s="99">
        <v>0.15</v>
      </c>
      <c r="K131" s="97"/>
      <c r="L131" s="114">
        <v>3.7000000000000002E-3</v>
      </c>
    </row>
    <row r="132" spans="2:12">
      <c r="B132" s="101" t="s">
        <v>320</v>
      </c>
      <c r="C132" s="99" t="s">
        <v>1739</v>
      </c>
      <c r="D132" s="99">
        <v>188.87</v>
      </c>
      <c r="E132" s="97"/>
      <c r="F132" s="97"/>
      <c r="G132" s="99">
        <v>188.87</v>
      </c>
      <c r="H132" s="99">
        <v>12591</v>
      </c>
      <c r="I132" s="100" t="s">
        <v>1734</v>
      </c>
      <c r="J132" s="99">
        <v>1.4999999999999999E-2</v>
      </c>
      <c r="K132" s="97"/>
      <c r="L132" s="114">
        <v>4.0000000000000002E-4</v>
      </c>
    </row>
    <row r="133" spans="2:12">
      <c r="B133" s="101" t="s">
        <v>321</v>
      </c>
      <c r="C133" s="99" t="s">
        <v>1740</v>
      </c>
      <c r="D133" s="99">
        <v>503.64</v>
      </c>
      <c r="E133" s="97"/>
      <c r="F133" s="97"/>
      <c r="G133" s="99">
        <v>503.64</v>
      </c>
      <c r="H133" s="99">
        <v>12591</v>
      </c>
      <c r="I133" s="100" t="s">
        <v>1734</v>
      </c>
      <c r="J133" s="99">
        <v>0.04</v>
      </c>
      <c r="K133" s="97"/>
      <c r="L133" s="114">
        <v>1E-3</v>
      </c>
    </row>
    <row r="134" spans="2:12">
      <c r="B134" s="101" t="s">
        <v>322</v>
      </c>
      <c r="C134" s="99" t="s">
        <v>1741</v>
      </c>
      <c r="D134" s="99">
        <v>881.37</v>
      </c>
      <c r="E134" s="97"/>
      <c r="F134" s="97"/>
      <c r="G134" s="99">
        <v>881.37</v>
      </c>
      <c r="H134" s="99">
        <v>12591</v>
      </c>
      <c r="I134" s="100" t="s">
        <v>1734</v>
      </c>
      <c r="J134" s="99">
        <v>7.0000000000000007E-2</v>
      </c>
      <c r="K134" s="97"/>
      <c r="L134" s="114">
        <v>1.6999999999999999E-3</v>
      </c>
    </row>
    <row r="135" spans="2:12">
      <c r="B135" s="101" t="s">
        <v>323</v>
      </c>
      <c r="C135" s="99" t="s">
        <v>1742</v>
      </c>
      <c r="D135" s="97"/>
      <c r="E135" s="99">
        <v>0</v>
      </c>
      <c r="F135" s="97"/>
      <c r="G135" s="99">
        <v>0</v>
      </c>
      <c r="H135" s="99">
        <v>0</v>
      </c>
      <c r="I135" s="100" t="s">
        <v>1743</v>
      </c>
      <c r="J135" s="99">
        <v>45</v>
      </c>
      <c r="K135" s="97"/>
      <c r="L135" s="114">
        <v>0</v>
      </c>
    </row>
    <row r="136" spans="2:12">
      <c r="B136" s="101" t="s">
        <v>994</v>
      </c>
      <c r="C136" s="99" t="s">
        <v>1744</v>
      </c>
      <c r="D136" s="99">
        <v>75.55</v>
      </c>
      <c r="E136" s="97"/>
      <c r="F136" s="97"/>
      <c r="G136" s="99">
        <v>75.55</v>
      </c>
      <c r="H136" s="99">
        <v>12591</v>
      </c>
      <c r="I136" s="100" t="s">
        <v>1734</v>
      </c>
      <c r="J136" s="99">
        <v>6.0000000000000001E-3</v>
      </c>
      <c r="K136" s="97"/>
      <c r="L136" s="114">
        <v>1E-4</v>
      </c>
    </row>
    <row r="137" spans="2:12">
      <c r="B137" s="101" t="s">
        <v>995</v>
      </c>
      <c r="C137" s="99" t="s">
        <v>1745</v>
      </c>
      <c r="D137" s="99">
        <v>25.18</v>
      </c>
      <c r="E137" s="97"/>
      <c r="F137" s="97"/>
      <c r="G137" s="99">
        <v>25.18</v>
      </c>
      <c r="H137" s="99">
        <v>12591</v>
      </c>
      <c r="I137" s="100" t="s">
        <v>1734</v>
      </c>
      <c r="J137" s="99">
        <v>2E-3</v>
      </c>
      <c r="K137" s="97"/>
      <c r="L137" s="114">
        <v>0</v>
      </c>
    </row>
    <row r="138" spans="2:12">
      <c r="B138" s="98">
        <v>2.7</v>
      </c>
      <c r="C138" s="99" t="s">
        <v>1758</v>
      </c>
      <c r="D138" s="99">
        <v>6862.1</v>
      </c>
      <c r="E138" s="99">
        <v>0</v>
      </c>
      <c r="F138" s="99">
        <v>0</v>
      </c>
      <c r="G138" s="99">
        <v>6862.1</v>
      </c>
      <c r="H138" s="99">
        <v>12591</v>
      </c>
      <c r="I138" s="100" t="s">
        <v>1734</v>
      </c>
      <c r="J138" s="99">
        <v>0.54500000000000004</v>
      </c>
      <c r="K138" s="1230">
        <v>1.34E-2</v>
      </c>
      <c r="L138" s="1231"/>
    </row>
    <row r="139" spans="2:12">
      <c r="B139" s="101" t="s">
        <v>325</v>
      </c>
      <c r="C139" s="99" t="s">
        <v>1735</v>
      </c>
      <c r="D139" s="99">
        <v>62.96</v>
      </c>
      <c r="E139" s="97"/>
      <c r="F139" s="97"/>
      <c r="G139" s="99">
        <v>62.96</v>
      </c>
      <c r="H139" s="99">
        <v>12591</v>
      </c>
      <c r="I139" s="100" t="s">
        <v>1734</v>
      </c>
      <c r="J139" s="99">
        <v>5.0000000000000001E-3</v>
      </c>
      <c r="K139" s="97"/>
      <c r="L139" s="114">
        <v>1E-4</v>
      </c>
    </row>
    <row r="140" spans="2:12">
      <c r="B140" s="101" t="s">
        <v>326</v>
      </c>
      <c r="C140" s="99" t="s">
        <v>1736</v>
      </c>
      <c r="D140" s="99">
        <v>88.14</v>
      </c>
      <c r="E140" s="97"/>
      <c r="F140" s="97"/>
      <c r="G140" s="99">
        <v>88.14</v>
      </c>
      <c r="H140" s="99">
        <v>12591</v>
      </c>
      <c r="I140" s="100" t="s">
        <v>1734</v>
      </c>
      <c r="J140" s="99">
        <v>7.0000000000000001E-3</v>
      </c>
      <c r="K140" s="97"/>
      <c r="L140" s="114">
        <v>2.0000000000000001E-4</v>
      </c>
    </row>
    <row r="141" spans="2:12">
      <c r="B141" s="101" t="s">
        <v>327</v>
      </c>
      <c r="C141" s="99" t="s">
        <v>1737</v>
      </c>
      <c r="D141" s="99">
        <v>3147.75</v>
      </c>
      <c r="E141" s="97"/>
      <c r="F141" s="97"/>
      <c r="G141" s="99">
        <v>3147.75</v>
      </c>
      <c r="H141" s="99">
        <v>12591</v>
      </c>
      <c r="I141" s="100" t="s">
        <v>1734</v>
      </c>
      <c r="J141" s="99">
        <v>0.25</v>
      </c>
      <c r="K141" s="97"/>
      <c r="L141" s="114">
        <v>6.1000000000000004E-3</v>
      </c>
    </row>
    <row r="142" spans="2:12">
      <c r="B142" s="101" t="s">
        <v>328</v>
      </c>
      <c r="C142" s="99" t="s">
        <v>1738</v>
      </c>
      <c r="D142" s="99">
        <v>1888.65</v>
      </c>
      <c r="E142" s="97"/>
      <c r="F142" s="97"/>
      <c r="G142" s="99">
        <v>1888.65</v>
      </c>
      <c r="H142" s="99">
        <v>12591</v>
      </c>
      <c r="I142" s="100" t="s">
        <v>1734</v>
      </c>
      <c r="J142" s="99">
        <v>0.15</v>
      </c>
      <c r="K142" s="97"/>
      <c r="L142" s="114">
        <v>3.7000000000000002E-3</v>
      </c>
    </row>
    <row r="143" spans="2:12">
      <c r="B143" s="101" t="s">
        <v>329</v>
      </c>
      <c r="C143" s="99" t="s">
        <v>1739</v>
      </c>
      <c r="D143" s="99">
        <v>188.87</v>
      </c>
      <c r="E143" s="97"/>
      <c r="F143" s="97"/>
      <c r="G143" s="99">
        <v>188.87</v>
      </c>
      <c r="H143" s="99">
        <v>12591</v>
      </c>
      <c r="I143" s="100" t="s">
        <v>1734</v>
      </c>
      <c r="J143" s="99">
        <v>1.4999999999999999E-2</v>
      </c>
      <c r="K143" s="97"/>
      <c r="L143" s="114">
        <v>4.0000000000000002E-4</v>
      </c>
    </row>
    <row r="144" spans="2:12">
      <c r="B144" s="101" t="s">
        <v>330</v>
      </c>
      <c r="C144" s="99" t="s">
        <v>1740</v>
      </c>
      <c r="D144" s="99">
        <v>503.64</v>
      </c>
      <c r="E144" s="97"/>
      <c r="F144" s="97"/>
      <c r="G144" s="99">
        <v>503.64</v>
      </c>
      <c r="H144" s="99">
        <v>12591</v>
      </c>
      <c r="I144" s="100" t="s">
        <v>1734</v>
      </c>
      <c r="J144" s="99">
        <v>0.04</v>
      </c>
      <c r="K144" s="97"/>
      <c r="L144" s="114">
        <v>1E-3</v>
      </c>
    </row>
    <row r="146" spans="2:12">
      <c r="B146" s="81"/>
    </row>
    <row r="147" spans="2:12">
      <c r="B147" s="81"/>
    </row>
    <row r="148" spans="2:12">
      <c r="B148" s="82"/>
      <c r="C148" s="83"/>
      <c r="D148" s="1217" t="s">
        <v>1716</v>
      </c>
      <c r="E148" s="1218"/>
      <c r="F148" s="1218"/>
      <c r="G148" s="1219"/>
      <c r="H148" s="1220" t="s">
        <v>1717</v>
      </c>
      <c r="I148" s="1221"/>
      <c r="J148" s="1222"/>
      <c r="K148" s="83"/>
      <c r="L148" s="83"/>
    </row>
    <row r="149" spans="2:12">
      <c r="B149" s="84" t="s">
        <v>1718</v>
      </c>
      <c r="C149" s="85" t="s">
        <v>1719</v>
      </c>
      <c r="D149" s="1248" t="s">
        <v>1720</v>
      </c>
      <c r="E149" s="87" t="s">
        <v>1721</v>
      </c>
      <c r="F149" s="1248" t="s">
        <v>1722</v>
      </c>
      <c r="G149" s="1248" t="s">
        <v>1723</v>
      </c>
      <c r="H149" s="1223" t="s">
        <v>1724</v>
      </c>
      <c r="I149" s="1224"/>
      <c r="J149" s="106" t="s">
        <v>1725</v>
      </c>
      <c r="K149" s="87" t="s">
        <v>1726</v>
      </c>
      <c r="L149" s="106" t="s">
        <v>1727</v>
      </c>
    </row>
    <row r="150" spans="2:12">
      <c r="B150" s="89"/>
      <c r="C150" s="90"/>
      <c r="D150" s="1249"/>
      <c r="E150" s="92" t="s">
        <v>1728</v>
      </c>
      <c r="F150" s="1249"/>
      <c r="G150" s="1249"/>
      <c r="H150" s="1225" t="s">
        <v>1729</v>
      </c>
      <c r="I150" s="1226"/>
      <c r="J150" s="107" t="s">
        <v>1730</v>
      </c>
      <c r="K150" s="90"/>
      <c r="L150" s="90"/>
    </row>
    <row r="151" spans="2:12">
      <c r="B151" s="101" t="s">
        <v>331</v>
      </c>
      <c r="C151" s="99" t="s">
        <v>1741</v>
      </c>
      <c r="D151" s="99">
        <v>881.37</v>
      </c>
      <c r="E151" s="97"/>
      <c r="F151" s="97"/>
      <c r="G151" s="99">
        <v>881.37</v>
      </c>
      <c r="H151" s="99">
        <v>12591</v>
      </c>
      <c r="I151" s="100" t="s">
        <v>1734</v>
      </c>
      <c r="J151" s="99">
        <v>7.0000000000000007E-2</v>
      </c>
      <c r="K151" s="97"/>
      <c r="L151" s="114">
        <v>1.6999999999999999E-3</v>
      </c>
    </row>
    <row r="152" spans="2:12">
      <c r="B152" s="101" t="s">
        <v>332</v>
      </c>
      <c r="C152" s="99" t="s">
        <v>1742</v>
      </c>
      <c r="D152" s="97"/>
      <c r="E152" s="99">
        <v>0</v>
      </c>
      <c r="F152" s="97"/>
      <c r="G152" s="99">
        <v>0</v>
      </c>
      <c r="H152" s="99">
        <v>0</v>
      </c>
      <c r="I152" s="100" t="s">
        <v>1743</v>
      </c>
      <c r="J152" s="99">
        <v>45</v>
      </c>
      <c r="K152" s="97"/>
      <c r="L152" s="114">
        <v>0</v>
      </c>
    </row>
    <row r="153" spans="2:12">
      <c r="B153" s="101" t="s">
        <v>998</v>
      </c>
      <c r="C153" s="99" t="s">
        <v>1744</v>
      </c>
      <c r="D153" s="99">
        <v>75.55</v>
      </c>
      <c r="E153" s="97"/>
      <c r="F153" s="97"/>
      <c r="G153" s="99">
        <v>75.55</v>
      </c>
      <c r="H153" s="99">
        <v>12591</v>
      </c>
      <c r="I153" s="100" t="s">
        <v>1734</v>
      </c>
      <c r="J153" s="99">
        <v>6.0000000000000001E-3</v>
      </c>
      <c r="K153" s="97"/>
      <c r="L153" s="114">
        <v>1E-4</v>
      </c>
    </row>
    <row r="154" spans="2:12">
      <c r="B154" s="101" t="s">
        <v>999</v>
      </c>
      <c r="C154" s="99" t="s">
        <v>1745</v>
      </c>
      <c r="D154" s="99">
        <v>25.18</v>
      </c>
      <c r="E154" s="97"/>
      <c r="F154" s="97"/>
      <c r="G154" s="99">
        <v>25.18</v>
      </c>
      <c r="H154" s="99">
        <v>12591</v>
      </c>
      <c r="I154" s="100" t="s">
        <v>1734</v>
      </c>
      <c r="J154" s="99">
        <v>2E-3</v>
      </c>
      <c r="K154" s="97"/>
      <c r="L154" s="114">
        <v>0</v>
      </c>
    </row>
    <row r="155" spans="2:12">
      <c r="B155" s="98">
        <v>2.8</v>
      </c>
      <c r="C155" s="99" t="s">
        <v>1759</v>
      </c>
      <c r="D155" s="99">
        <v>5399.86</v>
      </c>
      <c r="E155" s="99">
        <v>0</v>
      </c>
      <c r="F155" s="99">
        <v>0</v>
      </c>
      <c r="G155" s="99">
        <v>5399.86</v>
      </c>
      <c r="H155" s="99">
        <v>9908</v>
      </c>
      <c r="I155" s="100" t="s">
        <v>1734</v>
      </c>
      <c r="J155" s="99">
        <v>0.54500000000000004</v>
      </c>
      <c r="K155" s="1230">
        <v>1.0500000000000001E-2</v>
      </c>
      <c r="L155" s="1231"/>
    </row>
    <row r="156" spans="2:12">
      <c r="B156" s="101" t="s">
        <v>183</v>
      </c>
      <c r="C156" s="99" t="s">
        <v>1735</v>
      </c>
      <c r="D156" s="99">
        <v>49.54</v>
      </c>
      <c r="E156" s="97"/>
      <c r="F156" s="97"/>
      <c r="G156" s="99">
        <v>49.54</v>
      </c>
      <c r="H156" s="99">
        <v>9908</v>
      </c>
      <c r="I156" s="100" t="s">
        <v>1734</v>
      </c>
      <c r="J156" s="99">
        <v>5.0000000000000001E-3</v>
      </c>
      <c r="K156" s="97"/>
      <c r="L156" s="114">
        <v>1E-4</v>
      </c>
    </row>
    <row r="157" spans="2:12">
      <c r="B157" s="101" t="s">
        <v>184</v>
      </c>
      <c r="C157" s="99" t="s">
        <v>1736</v>
      </c>
      <c r="D157" s="99">
        <v>69.36</v>
      </c>
      <c r="E157" s="97"/>
      <c r="F157" s="97"/>
      <c r="G157" s="99">
        <v>69.36</v>
      </c>
      <c r="H157" s="99">
        <v>9908</v>
      </c>
      <c r="I157" s="100" t="s">
        <v>1734</v>
      </c>
      <c r="J157" s="99">
        <v>7.0000000000000001E-3</v>
      </c>
      <c r="K157" s="97"/>
      <c r="L157" s="114">
        <v>1E-4</v>
      </c>
    </row>
    <row r="158" spans="2:12">
      <c r="B158" s="101" t="s">
        <v>185</v>
      </c>
      <c r="C158" s="99" t="s">
        <v>1737</v>
      </c>
      <c r="D158" s="99">
        <v>2477</v>
      </c>
      <c r="E158" s="97"/>
      <c r="F158" s="97"/>
      <c r="G158" s="99">
        <v>2477</v>
      </c>
      <c r="H158" s="99">
        <v>9908</v>
      </c>
      <c r="I158" s="100" t="s">
        <v>1734</v>
      </c>
      <c r="J158" s="99">
        <v>0.25</v>
      </c>
      <c r="K158" s="97"/>
      <c r="L158" s="114">
        <v>4.7999999999999996E-3</v>
      </c>
    </row>
    <row r="159" spans="2:12">
      <c r="B159" s="101" t="s">
        <v>186</v>
      </c>
      <c r="C159" s="99" t="s">
        <v>1738</v>
      </c>
      <c r="D159" s="99">
        <v>1486.2</v>
      </c>
      <c r="E159" s="97"/>
      <c r="F159" s="97"/>
      <c r="G159" s="99">
        <v>1486.2</v>
      </c>
      <c r="H159" s="99">
        <v>9908</v>
      </c>
      <c r="I159" s="100" t="s">
        <v>1734</v>
      </c>
      <c r="J159" s="99">
        <v>0.15</v>
      </c>
      <c r="K159" s="97"/>
      <c r="L159" s="114">
        <v>2.8999999999999998E-3</v>
      </c>
    </row>
    <row r="160" spans="2:12">
      <c r="B160" s="101" t="s">
        <v>187</v>
      </c>
      <c r="C160" s="99" t="s">
        <v>1739</v>
      </c>
      <c r="D160" s="99">
        <v>148.62</v>
      </c>
      <c r="E160" s="97"/>
      <c r="F160" s="97"/>
      <c r="G160" s="99">
        <v>148.62</v>
      </c>
      <c r="H160" s="99">
        <v>9908</v>
      </c>
      <c r="I160" s="100" t="s">
        <v>1734</v>
      </c>
      <c r="J160" s="99">
        <v>1.4999999999999999E-2</v>
      </c>
      <c r="K160" s="97"/>
      <c r="L160" s="114">
        <v>2.9999999999999997E-4</v>
      </c>
    </row>
    <row r="161" spans="2:12">
      <c r="B161" s="101" t="s">
        <v>188</v>
      </c>
      <c r="C161" s="99" t="s">
        <v>1740</v>
      </c>
      <c r="D161" s="99">
        <v>396.32</v>
      </c>
      <c r="E161" s="97"/>
      <c r="F161" s="97"/>
      <c r="G161" s="99">
        <v>396.32</v>
      </c>
      <c r="H161" s="99">
        <v>9908</v>
      </c>
      <c r="I161" s="100" t="s">
        <v>1734</v>
      </c>
      <c r="J161" s="99">
        <v>0.04</v>
      </c>
      <c r="K161" s="97"/>
      <c r="L161" s="114">
        <v>8.0000000000000004E-4</v>
      </c>
    </row>
    <row r="162" spans="2:12">
      <c r="B162" s="101" t="s">
        <v>189</v>
      </c>
      <c r="C162" s="99" t="s">
        <v>1741</v>
      </c>
      <c r="D162" s="99">
        <v>693.56</v>
      </c>
      <c r="E162" s="97"/>
      <c r="F162" s="97"/>
      <c r="G162" s="99">
        <v>693.56</v>
      </c>
      <c r="H162" s="99">
        <v>9908</v>
      </c>
      <c r="I162" s="100" t="s">
        <v>1734</v>
      </c>
      <c r="J162" s="99">
        <v>7.0000000000000007E-2</v>
      </c>
      <c r="K162" s="97"/>
      <c r="L162" s="114">
        <v>1.4E-3</v>
      </c>
    </row>
    <row r="163" spans="2:12">
      <c r="B163" s="101" t="s">
        <v>190</v>
      </c>
      <c r="C163" s="99" t="s">
        <v>1742</v>
      </c>
      <c r="D163" s="97"/>
      <c r="E163" s="99">
        <v>0</v>
      </c>
      <c r="F163" s="97"/>
      <c r="G163" s="99">
        <v>0</v>
      </c>
      <c r="H163" s="99">
        <v>0</v>
      </c>
      <c r="I163" s="100" t="s">
        <v>1743</v>
      </c>
      <c r="J163" s="99">
        <v>45</v>
      </c>
      <c r="K163" s="97"/>
      <c r="L163" s="114">
        <v>0</v>
      </c>
    </row>
    <row r="164" spans="2:12">
      <c r="B164" s="101" t="s">
        <v>1002</v>
      </c>
      <c r="C164" s="99" t="s">
        <v>1744</v>
      </c>
      <c r="D164" s="99">
        <v>59.45</v>
      </c>
      <c r="E164" s="97"/>
      <c r="F164" s="97"/>
      <c r="G164" s="99">
        <v>59.45</v>
      </c>
      <c r="H164" s="99">
        <v>9908</v>
      </c>
      <c r="I164" s="100" t="s">
        <v>1734</v>
      </c>
      <c r="J164" s="99">
        <v>6.0000000000000001E-3</v>
      </c>
      <c r="K164" s="97"/>
      <c r="L164" s="114">
        <v>1E-4</v>
      </c>
    </row>
    <row r="165" spans="2:12">
      <c r="B165" s="101" t="s">
        <v>1003</v>
      </c>
      <c r="C165" s="99" t="s">
        <v>1745</v>
      </c>
      <c r="D165" s="99">
        <v>19.82</v>
      </c>
      <c r="E165" s="97"/>
      <c r="F165" s="97"/>
      <c r="G165" s="99">
        <v>19.82</v>
      </c>
      <c r="H165" s="99">
        <v>9908</v>
      </c>
      <c r="I165" s="100" t="s">
        <v>1734</v>
      </c>
      <c r="J165" s="99">
        <v>2E-3</v>
      </c>
      <c r="K165" s="97"/>
      <c r="L165" s="114">
        <v>0</v>
      </c>
    </row>
    <row r="166" spans="2:12">
      <c r="B166" s="98">
        <v>2.9</v>
      </c>
      <c r="C166" s="99" t="s">
        <v>1760</v>
      </c>
      <c r="D166" s="99">
        <v>6205.92</v>
      </c>
      <c r="E166" s="99">
        <v>0</v>
      </c>
      <c r="F166" s="99">
        <v>0</v>
      </c>
      <c r="G166" s="99">
        <v>6205.92</v>
      </c>
      <c r="H166" s="99">
        <v>11387</v>
      </c>
      <c r="I166" s="100" t="s">
        <v>1734</v>
      </c>
      <c r="J166" s="99">
        <v>0.54500000000000004</v>
      </c>
      <c r="K166" s="1230">
        <v>1.21E-2</v>
      </c>
      <c r="L166" s="1231"/>
    </row>
    <row r="167" spans="2:12">
      <c r="B167" s="101" t="s">
        <v>248</v>
      </c>
      <c r="C167" s="99" t="s">
        <v>1735</v>
      </c>
      <c r="D167" s="99">
        <v>56.94</v>
      </c>
      <c r="E167" s="97"/>
      <c r="F167" s="97"/>
      <c r="G167" s="99">
        <v>56.94</v>
      </c>
      <c r="H167" s="99">
        <v>11387</v>
      </c>
      <c r="I167" s="100" t="s">
        <v>1734</v>
      </c>
      <c r="J167" s="99">
        <v>5.0000000000000001E-3</v>
      </c>
      <c r="K167" s="97"/>
      <c r="L167" s="114">
        <v>1E-4</v>
      </c>
    </row>
    <row r="168" spans="2:12">
      <c r="B168" s="101" t="s">
        <v>249</v>
      </c>
      <c r="C168" s="99" t="s">
        <v>1736</v>
      </c>
      <c r="D168" s="99">
        <v>79.709999999999994</v>
      </c>
      <c r="E168" s="97"/>
      <c r="F168" s="97"/>
      <c r="G168" s="99">
        <v>79.709999999999994</v>
      </c>
      <c r="H168" s="99">
        <v>11387</v>
      </c>
      <c r="I168" s="100" t="s">
        <v>1734</v>
      </c>
      <c r="J168" s="99">
        <v>7.0000000000000001E-3</v>
      </c>
      <c r="K168" s="97"/>
      <c r="L168" s="114">
        <v>2.0000000000000001E-4</v>
      </c>
    </row>
    <row r="169" spans="2:12">
      <c r="B169" s="101" t="s">
        <v>250</v>
      </c>
      <c r="C169" s="99" t="s">
        <v>1737</v>
      </c>
      <c r="D169" s="99">
        <v>2846.75</v>
      </c>
      <c r="E169" s="97"/>
      <c r="F169" s="97"/>
      <c r="G169" s="99">
        <v>2846.75</v>
      </c>
      <c r="H169" s="99">
        <v>11387</v>
      </c>
      <c r="I169" s="100" t="s">
        <v>1734</v>
      </c>
      <c r="J169" s="99">
        <v>0.25</v>
      </c>
      <c r="K169" s="97"/>
      <c r="L169" s="114">
        <v>5.4999999999999997E-3</v>
      </c>
    </row>
    <row r="171" spans="2:12">
      <c r="B171" s="81"/>
    </row>
    <row r="172" spans="2:12">
      <c r="B172" s="81"/>
    </row>
    <row r="173" spans="2:12">
      <c r="B173" s="82"/>
      <c r="C173" s="83"/>
      <c r="D173" s="1217" t="s">
        <v>1716</v>
      </c>
      <c r="E173" s="1218"/>
      <c r="F173" s="1218"/>
      <c r="G173" s="1219"/>
      <c r="H173" s="1220" t="s">
        <v>1717</v>
      </c>
      <c r="I173" s="1221"/>
      <c r="J173" s="1222"/>
      <c r="K173" s="83"/>
      <c r="L173" s="83"/>
    </row>
    <row r="174" spans="2:12">
      <c r="B174" s="84" t="s">
        <v>1718</v>
      </c>
      <c r="C174" s="85" t="s">
        <v>1719</v>
      </c>
      <c r="D174" s="1248" t="s">
        <v>1720</v>
      </c>
      <c r="E174" s="87" t="s">
        <v>1721</v>
      </c>
      <c r="F174" s="1248" t="s">
        <v>1722</v>
      </c>
      <c r="G174" s="1248" t="s">
        <v>1723</v>
      </c>
      <c r="H174" s="1223" t="s">
        <v>1724</v>
      </c>
      <c r="I174" s="1224"/>
      <c r="J174" s="106" t="s">
        <v>1725</v>
      </c>
      <c r="K174" s="87" t="s">
        <v>1726</v>
      </c>
      <c r="L174" s="106" t="s">
        <v>1727</v>
      </c>
    </row>
    <row r="175" spans="2:12">
      <c r="B175" s="89"/>
      <c r="C175" s="90"/>
      <c r="D175" s="1249"/>
      <c r="E175" s="92" t="s">
        <v>1728</v>
      </c>
      <c r="F175" s="1249"/>
      <c r="G175" s="1249"/>
      <c r="H175" s="1225" t="s">
        <v>1729</v>
      </c>
      <c r="I175" s="1226"/>
      <c r="J175" s="107" t="s">
        <v>1730</v>
      </c>
      <c r="K175" s="90"/>
      <c r="L175" s="90"/>
    </row>
    <row r="176" spans="2:12">
      <c r="B176" s="101" t="s">
        <v>251</v>
      </c>
      <c r="C176" s="99" t="s">
        <v>1738</v>
      </c>
      <c r="D176" s="99">
        <v>1708.05</v>
      </c>
      <c r="E176" s="97"/>
      <c r="F176" s="97"/>
      <c r="G176" s="99">
        <v>1708.05</v>
      </c>
      <c r="H176" s="99">
        <v>11387</v>
      </c>
      <c r="I176" s="100" t="s">
        <v>1734</v>
      </c>
      <c r="J176" s="99">
        <v>0.15</v>
      </c>
      <c r="K176" s="97"/>
      <c r="L176" s="114">
        <v>3.3E-3</v>
      </c>
    </row>
    <row r="177" spans="2:12">
      <c r="B177" s="101" t="s">
        <v>252</v>
      </c>
      <c r="C177" s="99" t="s">
        <v>1739</v>
      </c>
      <c r="D177" s="99">
        <v>170.81</v>
      </c>
      <c r="E177" s="97"/>
      <c r="F177" s="97"/>
      <c r="G177" s="99">
        <v>170.81</v>
      </c>
      <c r="H177" s="99">
        <v>11387</v>
      </c>
      <c r="I177" s="100" t="s">
        <v>1734</v>
      </c>
      <c r="J177" s="99">
        <v>1.4999999999999999E-2</v>
      </c>
      <c r="K177" s="97"/>
      <c r="L177" s="114">
        <v>2.9999999999999997E-4</v>
      </c>
    </row>
    <row r="178" spans="2:12">
      <c r="B178" s="101" t="s">
        <v>253</v>
      </c>
      <c r="C178" s="99" t="s">
        <v>1740</v>
      </c>
      <c r="D178" s="99">
        <v>455.48</v>
      </c>
      <c r="E178" s="97"/>
      <c r="F178" s="97"/>
      <c r="G178" s="99">
        <v>455.48</v>
      </c>
      <c r="H178" s="99">
        <v>11387</v>
      </c>
      <c r="I178" s="100" t="s">
        <v>1734</v>
      </c>
      <c r="J178" s="99">
        <v>0.04</v>
      </c>
      <c r="K178" s="97"/>
      <c r="L178" s="114">
        <v>8.9999999999999998E-4</v>
      </c>
    </row>
    <row r="179" spans="2:12">
      <c r="B179" s="101" t="s">
        <v>254</v>
      </c>
      <c r="C179" s="99" t="s">
        <v>1741</v>
      </c>
      <c r="D179" s="99">
        <v>797.09</v>
      </c>
      <c r="E179" s="97"/>
      <c r="F179" s="97"/>
      <c r="G179" s="99">
        <v>797.09</v>
      </c>
      <c r="H179" s="99">
        <v>11387</v>
      </c>
      <c r="I179" s="100" t="s">
        <v>1734</v>
      </c>
      <c r="J179" s="99">
        <v>7.0000000000000007E-2</v>
      </c>
      <c r="K179" s="97"/>
      <c r="L179" s="114">
        <v>1.6000000000000001E-3</v>
      </c>
    </row>
    <row r="180" spans="2:12">
      <c r="B180" s="101" t="s">
        <v>255</v>
      </c>
      <c r="C180" s="99" t="s">
        <v>1742</v>
      </c>
      <c r="D180" s="97"/>
      <c r="E180" s="99">
        <v>0</v>
      </c>
      <c r="F180" s="97"/>
      <c r="G180" s="99">
        <v>0</v>
      </c>
      <c r="H180" s="99">
        <v>0</v>
      </c>
      <c r="I180" s="100" t="s">
        <v>1743</v>
      </c>
      <c r="J180" s="99">
        <v>45</v>
      </c>
      <c r="K180" s="97"/>
      <c r="L180" s="114">
        <v>0</v>
      </c>
    </row>
    <row r="181" spans="2:12">
      <c r="B181" s="101" t="s">
        <v>1006</v>
      </c>
      <c r="C181" s="99" t="s">
        <v>1744</v>
      </c>
      <c r="D181" s="99">
        <v>68.319999999999993</v>
      </c>
      <c r="E181" s="97"/>
      <c r="F181" s="97"/>
      <c r="G181" s="99">
        <v>68.319999999999993</v>
      </c>
      <c r="H181" s="99">
        <v>11387</v>
      </c>
      <c r="I181" s="100" t="s">
        <v>1734</v>
      </c>
      <c r="J181" s="99">
        <v>6.0000000000000001E-3</v>
      </c>
      <c r="K181" s="97"/>
      <c r="L181" s="114">
        <v>1E-4</v>
      </c>
    </row>
    <row r="182" spans="2:12">
      <c r="B182" s="101" t="s">
        <v>1007</v>
      </c>
      <c r="C182" s="99" t="s">
        <v>1745</v>
      </c>
      <c r="D182" s="99">
        <v>22.77</v>
      </c>
      <c r="E182" s="97"/>
      <c r="F182" s="97"/>
      <c r="G182" s="99">
        <v>22.77</v>
      </c>
      <c r="H182" s="99">
        <v>11387</v>
      </c>
      <c r="I182" s="100" t="s">
        <v>1734</v>
      </c>
      <c r="J182" s="99">
        <v>2E-3</v>
      </c>
      <c r="K182" s="97"/>
      <c r="L182" s="114">
        <v>0</v>
      </c>
    </row>
    <row r="183" spans="2:12">
      <c r="B183" s="101">
        <v>2.1</v>
      </c>
      <c r="C183" s="99" t="s">
        <v>1761</v>
      </c>
      <c r="D183" s="99">
        <v>6205.92</v>
      </c>
      <c r="E183" s="99">
        <v>0</v>
      </c>
      <c r="F183" s="99">
        <v>0</v>
      </c>
      <c r="G183" s="99">
        <v>6205.92</v>
      </c>
      <c r="H183" s="99">
        <v>11387</v>
      </c>
      <c r="I183" s="100" t="s">
        <v>1734</v>
      </c>
      <c r="J183" s="99">
        <v>0.54500000000000004</v>
      </c>
      <c r="K183" s="1230">
        <v>1.21E-2</v>
      </c>
      <c r="L183" s="1231"/>
    </row>
    <row r="184" spans="2:12">
      <c r="B184" s="101" t="s">
        <v>230</v>
      </c>
      <c r="C184" s="99" t="s">
        <v>1735</v>
      </c>
      <c r="D184" s="99">
        <v>56.94</v>
      </c>
      <c r="E184" s="97"/>
      <c r="F184" s="97"/>
      <c r="G184" s="99">
        <v>56.94</v>
      </c>
      <c r="H184" s="99">
        <v>11387</v>
      </c>
      <c r="I184" s="100" t="s">
        <v>1734</v>
      </c>
      <c r="J184" s="99">
        <v>5.0000000000000001E-3</v>
      </c>
      <c r="K184" s="97"/>
      <c r="L184" s="114">
        <v>1E-4</v>
      </c>
    </row>
    <row r="185" spans="2:12">
      <c r="B185" s="101" t="s">
        <v>231</v>
      </c>
      <c r="C185" s="99" t="s">
        <v>1736</v>
      </c>
      <c r="D185" s="99">
        <v>79.709999999999994</v>
      </c>
      <c r="E185" s="97"/>
      <c r="F185" s="97"/>
      <c r="G185" s="99">
        <v>79.709999999999994</v>
      </c>
      <c r="H185" s="99">
        <v>11387</v>
      </c>
      <c r="I185" s="100" t="s">
        <v>1734</v>
      </c>
      <c r="J185" s="99">
        <v>7.0000000000000001E-3</v>
      </c>
      <c r="K185" s="97"/>
      <c r="L185" s="114">
        <v>2.0000000000000001E-4</v>
      </c>
    </row>
    <row r="186" spans="2:12">
      <c r="B186" s="101" t="s">
        <v>232</v>
      </c>
      <c r="C186" s="99" t="s">
        <v>1737</v>
      </c>
      <c r="D186" s="99">
        <v>2846.75</v>
      </c>
      <c r="E186" s="97"/>
      <c r="F186" s="97"/>
      <c r="G186" s="99">
        <v>2846.75</v>
      </c>
      <c r="H186" s="99">
        <v>11387</v>
      </c>
      <c r="I186" s="100" t="s">
        <v>1734</v>
      </c>
      <c r="J186" s="99">
        <v>0.25</v>
      </c>
      <c r="K186" s="97"/>
      <c r="L186" s="114">
        <v>5.4999999999999997E-3</v>
      </c>
    </row>
    <row r="187" spans="2:12">
      <c r="B187" s="101" t="s">
        <v>233</v>
      </c>
      <c r="C187" s="99" t="s">
        <v>1738</v>
      </c>
      <c r="D187" s="99">
        <v>1708.05</v>
      </c>
      <c r="E187" s="97"/>
      <c r="F187" s="97"/>
      <c r="G187" s="99">
        <v>1708.05</v>
      </c>
      <c r="H187" s="99">
        <v>11387</v>
      </c>
      <c r="I187" s="100" t="s">
        <v>1734</v>
      </c>
      <c r="J187" s="99">
        <v>0.15</v>
      </c>
      <c r="K187" s="97"/>
      <c r="L187" s="114">
        <v>3.3E-3</v>
      </c>
    </row>
    <row r="188" spans="2:12">
      <c r="B188" s="101" t="s">
        <v>234</v>
      </c>
      <c r="C188" s="99" t="s">
        <v>1739</v>
      </c>
      <c r="D188" s="99">
        <v>170.81</v>
      </c>
      <c r="E188" s="97"/>
      <c r="F188" s="97"/>
      <c r="G188" s="99">
        <v>170.81</v>
      </c>
      <c r="H188" s="99">
        <v>11387</v>
      </c>
      <c r="I188" s="100" t="s">
        <v>1734</v>
      </c>
      <c r="J188" s="99">
        <v>1.4999999999999999E-2</v>
      </c>
      <c r="K188" s="97"/>
      <c r="L188" s="114">
        <v>2.9999999999999997E-4</v>
      </c>
    </row>
    <row r="189" spans="2:12">
      <c r="B189" s="101" t="s">
        <v>235</v>
      </c>
      <c r="C189" s="99" t="s">
        <v>1740</v>
      </c>
      <c r="D189" s="99">
        <v>455.48</v>
      </c>
      <c r="E189" s="97"/>
      <c r="F189" s="97"/>
      <c r="G189" s="99">
        <v>455.48</v>
      </c>
      <c r="H189" s="99">
        <v>11387</v>
      </c>
      <c r="I189" s="100" t="s">
        <v>1734</v>
      </c>
      <c r="J189" s="99">
        <v>0.04</v>
      </c>
      <c r="K189" s="97"/>
      <c r="L189" s="114">
        <v>8.9999999999999998E-4</v>
      </c>
    </row>
    <row r="190" spans="2:12">
      <c r="B190" s="101" t="s">
        <v>236</v>
      </c>
      <c r="C190" s="99" t="s">
        <v>1741</v>
      </c>
      <c r="D190" s="99">
        <v>797.09</v>
      </c>
      <c r="E190" s="97"/>
      <c r="F190" s="97"/>
      <c r="G190" s="99">
        <v>797.09</v>
      </c>
      <c r="H190" s="99">
        <v>11387</v>
      </c>
      <c r="I190" s="100" t="s">
        <v>1734</v>
      </c>
      <c r="J190" s="99">
        <v>7.0000000000000007E-2</v>
      </c>
      <c r="K190" s="97"/>
      <c r="L190" s="114">
        <v>1.6000000000000001E-3</v>
      </c>
    </row>
    <row r="191" spans="2:12">
      <c r="B191" s="101" t="s">
        <v>237</v>
      </c>
      <c r="C191" s="99" t="s">
        <v>1742</v>
      </c>
      <c r="D191" s="97"/>
      <c r="E191" s="99">
        <v>0</v>
      </c>
      <c r="F191" s="97"/>
      <c r="G191" s="99">
        <v>0</v>
      </c>
      <c r="H191" s="99">
        <v>0</v>
      </c>
      <c r="I191" s="100" t="s">
        <v>1743</v>
      </c>
      <c r="J191" s="99">
        <v>45</v>
      </c>
      <c r="K191" s="97"/>
      <c r="L191" s="114">
        <v>0</v>
      </c>
    </row>
    <row r="192" spans="2:12">
      <c r="B192" s="101" t="s">
        <v>1010</v>
      </c>
      <c r="C192" s="99" t="s">
        <v>1744</v>
      </c>
      <c r="D192" s="99">
        <v>68.319999999999993</v>
      </c>
      <c r="E192" s="97"/>
      <c r="F192" s="97"/>
      <c r="G192" s="99">
        <v>68.319999999999993</v>
      </c>
      <c r="H192" s="99">
        <v>11387</v>
      </c>
      <c r="I192" s="100" t="s">
        <v>1734</v>
      </c>
      <c r="J192" s="99">
        <v>6.0000000000000001E-3</v>
      </c>
      <c r="K192" s="97"/>
      <c r="L192" s="114">
        <v>1E-4</v>
      </c>
    </row>
    <row r="193" spans="2:12">
      <c r="B193" s="118" t="s">
        <v>230</v>
      </c>
      <c r="C193" s="1250" t="s">
        <v>1745</v>
      </c>
      <c r="D193" s="1250">
        <v>22.77</v>
      </c>
      <c r="E193" s="1260"/>
      <c r="F193" s="1260"/>
      <c r="G193" s="1250">
        <v>22.77</v>
      </c>
      <c r="H193" s="1250">
        <v>11387</v>
      </c>
      <c r="I193" s="1266" t="s">
        <v>1734</v>
      </c>
      <c r="J193" s="1250">
        <v>2E-3</v>
      </c>
      <c r="K193" s="1260"/>
      <c r="L193" s="1269">
        <v>0</v>
      </c>
    </row>
    <row r="194" spans="2:12">
      <c r="B194" s="119">
        <v>0</v>
      </c>
      <c r="C194" s="1251"/>
      <c r="D194" s="1251"/>
      <c r="E194" s="1262"/>
      <c r="F194" s="1262"/>
      <c r="G194" s="1251"/>
      <c r="H194" s="1251"/>
      <c r="I194" s="1267"/>
      <c r="J194" s="1251"/>
      <c r="K194" s="1262"/>
      <c r="L194" s="1270"/>
    </row>
    <row r="196" spans="2:12">
      <c r="B196" s="81"/>
    </row>
    <row r="197" spans="2:12">
      <c r="B197" s="81"/>
    </row>
    <row r="198" spans="2:12">
      <c r="B198" s="82"/>
      <c r="C198" s="83"/>
      <c r="D198" s="1217" t="s">
        <v>1716</v>
      </c>
      <c r="E198" s="1218"/>
      <c r="F198" s="1218"/>
      <c r="G198" s="1219"/>
      <c r="H198" s="1220" t="s">
        <v>1717</v>
      </c>
      <c r="I198" s="1221"/>
      <c r="J198" s="1222"/>
      <c r="K198" s="83"/>
      <c r="L198" s="83"/>
    </row>
    <row r="199" spans="2:12">
      <c r="B199" s="84" t="s">
        <v>1718</v>
      </c>
      <c r="C199" s="85" t="s">
        <v>1719</v>
      </c>
      <c r="D199" s="1253" t="s">
        <v>1720</v>
      </c>
      <c r="E199" s="87" t="s">
        <v>1721</v>
      </c>
      <c r="F199" s="1248" t="s">
        <v>1722</v>
      </c>
      <c r="G199" s="1258" t="s">
        <v>1723</v>
      </c>
      <c r="H199" s="1223" t="s">
        <v>1724</v>
      </c>
      <c r="I199" s="1224"/>
      <c r="J199" s="106" t="s">
        <v>1725</v>
      </c>
      <c r="K199" s="87" t="s">
        <v>1726</v>
      </c>
      <c r="L199" s="106" t="s">
        <v>1727</v>
      </c>
    </row>
    <row r="200" spans="2:12">
      <c r="B200" s="89"/>
      <c r="C200" s="90"/>
      <c r="D200" s="1255"/>
      <c r="E200" s="92" t="s">
        <v>1728</v>
      </c>
      <c r="F200" s="1249"/>
      <c r="G200" s="1259"/>
      <c r="H200" s="1225" t="s">
        <v>1729</v>
      </c>
      <c r="I200" s="1226"/>
      <c r="J200" s="107" t="s">
        <v>1730</v>
      </c>
      <c r="K200" s="90"/>
      <c r="L200" s="90"/>
    </row>
    <row r="201" spans="2:12">
      <c r="B201" s="119">
        <v>2.11</v>
      </c>
      <c r="C201" s="99" t="s">
        <v>1762</v>
      </c>
      <c r="D201" s="100">
        <v>6205.92</v>
      </c>
      <c r="E201" s="99">
        <v>0</v>
      </c>
      <c r="F201" s="99">
        <v>0</v>
      </c>
      <c r="G201" s="100">
        <v>6205.92</v>
      </c>
      <c r="H201" s="99">
        <v>11387</v>
      </c>
      <c r="I201" s="100" t="s">
        <v>1734</v>
      </c>
      <c r="J201" s="99">
        <v>0.54500000000000004</v>
      </c>
      <c r="K201" s="1230">
        <v>1.21E-2</v>
      </c>
      <c r="L201" s="1231"/>
    </row>
    <row r="202" spans="2:12">
      <c r="B202" s="119" t="s">
        <v>239</v>
      </c>
      <c r="C202" s="99" t="s">
        <v>1735</v>
      </c>
      <c r="D202" s="102">
        <v>56.94</v>
      </c>
      <c r="E202" s="97"/>
      <c r="F202" s="97"/>
      <c r="G202" s="102">
        <v>56.94</v>
      </c>
      <c r="H202" s="99">
        <v>11387</v>
      </c>
      <c r="I202" s="100" t="s">
        <v>1734</v>
      </c>
      <c r="J202" s="99">
        <v>5.0000000000000001E-3</v>
      </c>
      <c r="K202" s="97"/>
      <c r="L202" s="114">
        <v>1E-4</v>
      </c>
    </row>
    <row r="203" spans="2:12">
      <c r="B203" s="119" t="s">
        <v>240</v>
      </c>
      <c r="C203" s="99" t="s">
        <v>1736</v>
      </c>
      <c r="D203" s="102">
        <v>79.709999999999994</v>
      </c>
      <c r="E203" s="97"/>
      <c r="F203" s="97"/>
      <c r="G203" s="102">
        <v>79.709999999999994</v>
      </c>
      <c r="H203" s="99">
        <v>11387</v>
      </c>
      <c r="I203" s="100" t="s">
        <v>1734</v>
      </c>
      <c r="J203" s="99">
        <v>7.0000000000000001E-3</v>
      </c>
      <c r="K203" s="97"/>
      <c r="L203" s="114">
        <v>2.0000000000000001E-4</v>
      </c>
    </row>
    <row r="204" spans="2:12">
      <c r="B204" s="119" t="s">
        <v>241</v>
      </c>
      <c r="C204" s="99" t="s">
        <v>1737</v>
      </c>
      <c r="D204" s="100">
        <v>2846.75</v>
      </c>
      <c r="E204" s="97"/>
      <c r="F204" s="97"/>
      <c r="G204" s="100">
        <v>2846.75</v>
      </c>
      <c r="H204" s="99">
        <v>11387</v>
      </c>
      <c r="I204" s="100" t="s">
        <v>1734</v>
      </c>
      <c r="J204" s="99">
        <v>0.25</v>
      </c>
      <c r="K204" s="97"/>
      <c r="L204" s="114">
        <v>5.4999999999999997E-3</v>
      </c>
    </row>
    <row r="205" spans="2:12">
      <c r="B205" s="119" t="s">
        <v>242</v>
      </c>
      <c r="C205" s="99" t="s">
        <v>1738</v>
      </c>
      <c r="D205" s="100">
        <v>1708.05</v>
      </c>
      <c r="E205" s="97"/>
      <c r="F205" s="97"/>
      <c r="G205" s="100">
        <v>1708.05</v>
      </c>
      <c r="H205" s="99">
        <v>11387</v>
      </c>
      <c r="I205" s="100" t="s">
        <v>1734</v>
      </c>
      <c r="J205" s="99">
        <v>0.15</v>
      </c>
      <c r="K205" s="97"/>
      <c r="L205" s="114">
        <v>3.3E-3</v>
      </c>
    </row>
    <row r="206" spans="2:12">
      <c r="B206" s="119" t="s">
        <v>243</v>
      </c>
      <c r="C206" s="99" t="s">
        <v>1739</v>
      </c>
      <c r="D206" s="97">
        <v>170.81</v>
      </c>
      <c r="E206" s="97"/>
      <c r="F206" s="97"/>
      <c r="G206" s="97">
        <v>170.81</v>
      </c>
      <c r="H206" s="99">
        <v>11387</v>
      </c>
      <c r="I206" s="100" t="s">
        <v>1734</v>
      </c>
      <c r="J206" s="99">
        <v>1.4999999999999999E-2</v>
      </c>
      <c r="K206" s="97"/>
      <c r="L206" s="114">
        <v>2.9999999999999997E-4</v>
      </c>
    </row>
    <row r="207" spans="2:12">
      <c r="B207" s="119" t="s">
        <v>244</v>
      </c>
      <c r="C207" s="99" t="s">
        <v>1740</v>
      </c>
      <c r="D207" s="97">
        <v>455.48</v>
      </c>
      <c r="E207" s="97"/>
      <c r="F207" s="97"/>
      <c r="G207" s="97">
        <v>455.48</v>
      </c>
      <c r="H207" s="99">
        <v>11387</v>
      </c>
      <c r="I207" s="100" t="s">
        <v>1734</v>
      </c>
      <c r="J207" s="99">
        <v>0.04</v>
      </c>
      <c r="K207" s="97"/>
      <c r="L207" s="114">
        <v>8.9999999999999998E-4</v>
      </c>
    </row>
    <row r="208" spans="2:12">
      <c r="B208" s="119" t="s">
        <v>245</v>
      </c>
      <c r="C208" s="99" t="s">
        <v>1741</v>
      </c>
      <c r="D208" s="97">
        <v>797.09</v>
      </c>
      <c r="E208" s="97"/>
      <c r="F208" s="97"/>
      <c r="G208" s="97">
        <v>797.09</v>
      </c>
      <c r="H208" s="99">
        <v>11387</v>
      </c>
      <c r="I208" s="100" t="s">
        <v>1734</v>
      </c>
      <c r="J208" s="99">
        <v>7.0000000000000007E-2</v>
      </c>
      <c r="K208" s="97"/>
      <c r="L208" s="114">
        <v>1.6000000000000001E-3</v>
      </c>
    </row>
    <row r="209" spans="2:12">
      <c r="B209" s="119" t="s">
        <v>246</v>
      </c>
      <c r="C209" s="99" t="s">
        <v>1742</v>
      </c>
      <c r="D209" s="97"/>
      <c r="E209" s="99">
        <v>0</v>
      </c>
      <c r="F209" s="97"/>
      <c r="G209" s="99">
        <v>0</v>
      </c>
      <c r="H209" s="99">
        <v>0</v>
      </c>
      <c r="I209" s="100" t="s">
        <v>1743</v>
      </c>
      <c r="J209" s="99">
        <v>45</v>
      </c>
      <c r="K209" s="97"/>
      <c r="L209" s="114">
        <v>0</v>
      </c>
    </row>
    <row r="210" spans="2:12">
      <c r="B210" s="119" t="s">
        <v>1014</v>
      </c>
      <c r="C210" s="99" t="s">
        <v>1744</v>
      </c>
      <c r="D210" s="102">
        <v>68.319999999999993</v>
      </c>
      <c r="E210" s="97"/>
      <c r="F210" s="97"/>
      <c r="G210" s="102">
        <v>68.319999999999993</v>
      </c>
      <c r="H210" s="99">
        <v>11387</v>
      </c>
      <c r="I210" s="100" t="s">
        <v>1734</v>
      </c>
      <c r="J210" s="99">
        <v>6.0000000000000001E-3</v>
      </c>
      <c r="K210" s="97"/>
      <c r="L210" s="114">
        <v>1E-4</v>
      </c>
    </row>
    <row r="211" spans="2:12">
      <c r="B211" s="118" t="s">
        <v>239</v>
      </c>
      <c r="C211" s="1250" t="s">
        <v>1745</v>
      </c>
      <c r="D211" s="1264">
        <v>22.77</v>
      </c>
      <c r="E211" s="1260"/>
      <c r="F211" s="1260"/>
      <c r="G211" s="1264">
        <v>22.77</v>
      </c>
      <c r="H211" s="1250">
        <v>11387</v>
      </c>
      <c r="I211" s="1266" t="s">
        <v>1734</v>
      </c>
      <c r="J211" s="1250">
        <v>2E-3</v>
      </c>
      <c r="K211" s="1260"/>
      <c r="L211" s="1269">
        <v>0</v>
      </c>
    </row>
    <row r="212" spans="2:12">
      <c r="B212" s="119">
        <v>0</v>
      </c>
      <c r="C212" s="1251"/>
      <c r="D212" s="1265"/>
      <c r="E212" s="1262"/>
      <c r="F212" s="1262"/>
      <c r="G212" s="1265"/>
      <c r="H212" s="1251"/>
      <c r="I212" s="1267"/>
      <c r="J212" s="1251"/>
      <c r="K212" s="1262"/>
      <c r="L212" s="1270"/>
    </row>
    <row r="213" spans="2:12">
      <c r="B213" s="1248">
        <v>3</v>
      </c>
      <c r="C213" s="1248" t="s">
        <v>1763</v>
      </c>
      <c r="D213" s="1253">
        <v>96421.65</v>
      </c>
      <c r="E213" s="1248">
        <v>810</v>
      </c>
      <c r="F213" s="1248">
        <v>0</v>
      </c>
      <c r="G213" s="1253">
        <v>97231.65</v>
      </c>
      <c r="H213" s="1260"/>
      <c r="I213" s="1260"/>
      <c r="J213" s="1260"/>
      <c r="K213" s="1223">
        <v>18.95</v>
      </c>
      <c r="L213" s="1224"/>
    </row>
    <row r="214" spans="2:12">
      <c r="B214" s="1249"/>
      <c r="C214" s="1249"/>
      <c r="D214" s="1255"/>
      <c r="E214" s="1249"/>
      <c r="F214" s="1249"/>
      <c r="G214" s="1255"/>
      <c r="H214" s="1262"/>
      <c r="I214" s="1262"/>
      <c r="J214" s="1262"/>
      <c r="K214" s="1225" t="s">
        <v>1764</v>
      </c>
      <c r="L214" s="1226"/>
    </row>
    <row r="215" spans="2:12">
      <c r="B215" s="1250">
        <v>3.1</v>
      </c>
      <c r="C215" s="1250" t="s">
        <v>1765</v>
      </c>
      <c r="D215" s="1266">
        <v>59191.65</v>
      </c>
      <c r="E215" s="1250">
        <v>360</v>
      </c>
      <c r="F215" s="1250">
        <v>0</v>
      </c>
      <c r="G215" s="1266">
        <v>59551.65</v>
      </c>
      <c r="H215" s="1260"/>
      <c r="I215" s="1266" t="s">
        <v>1734</v>
      </c>
      <c r="J215" s="1260"/>
      <c r="K215" s="1234">
        <v>11.6</v>
      </c>
      <c r="L215" s="1235"/>
    </row>
    <row r="216" spans="2:12">
      <c r="B216" s="1251"/>
      <c r="C216" s="1251"/>
      <c r="D216" s="1267"/>
      <c r="E216" s="1251"/>
      <c r="F216" s="1251"/>
      <c r="G216" s="1267"/>
      <c r="H216" s="1262"/>
      <c r="I216" s="1267"/>
      <c r="J216" s="1262"/>
      <c r="K216" s="1236" t="s">
        <v>1764</v>
      </c>
      <c r="L216" s="1237"/>
    </row>
    <row r="217" spans="2:12">
      <c r="B217" s="119" t="s">
        <v>356</v>
      </c>
      <c r="C217" s="99" t="s">
        <v>1766</v>
      </c>
      <c r="D217" s="100">
        <v>38311.65</v>
      </c>
      <c r="E217" s="99">
        <v>360</v>
      </c>
      <c r="F217" s="99">
        <v>0</v>
      </c>
      <c r="G217" s="100">
        <v>38671.65</v>
      </c>
      <c r="H217" s="99">
        <v>57525</v>
      </c>
      <c r="I217" s="100" t="s">
        <v>1734</v>
      </c>
      <c r="J217" s="99">
        <v>0.67200000000000004</v>
      </c>
      <c r="K217" s="1230">
        <v>7.5399999999999995E-2</v>
      </c>
      <c r="L217" s="1231"/>
    </row>
    <row r="218" spans="2:12">
      <c r="B218" s="119" t="s">
        <v>1019</v>
      </c>
      <c r="C218" s="99" t="s">
        <v>1735</v>
      </c>
      <c r="D218" s="97">
        <v>287.63</v>
      </c>
      <c r="E218" s="97"/>
      <c r="F218" s="97"/>
      <c r="G218" s="97">
        <v>287.63</v>
      </c>
      <c r="H218" s="99">
        <v>57525</v>
      </c>
      <c r="I218" s="100" t="s">
        <v>1734</v>
      </c>
      <c r="J218" s="99">
        <v>5.0000000000000001E-3</v>
      </c>
      <c r="K218" s="97"/>
      <c r="L218" s="114">
        <v>5.9999999999999995E-4</v>
      </c>
    </row>
    <row r="219" spans="2:12">
      <c r="B219" s="119" t="s">
        <v>1020</v>
      </c>
      <c r="C219" s="99" t="s">
        <v>1736</v>
      </c>
      <c r="D219" s="100">
        <v>8053.5</v>
      </c>
      <c r="E219" s="97"/>
      <c r="F219" s="97"/>
      <c r="G219" s="100">
        <v>8053.5</v>
      </c>
      <c r="H219" s="99">
        <v>57525</v>
      </c>
      <c r="I219" s="100" t="s">
        <v>1734</v>
      </c>
      <c r="J219" s="99">
        <v>0.14000000000000001</v>
      </c>
      <c r="K219" s="97"/>
      <c r="L219" s="114">
        <v>1.5699999999999999E-2</v>
      </c>
    </row>
    <row r="220" spans="2:12">
      <c r="B220" s="119" t="s">
        <v>1021</v>
      </c>
      <c r="C220" s="99" t="s">
        <v>1737</v>
      </c>
      <c r="D220" s="100">
        <v>14381.25</v>
      </c>
      <c r="E220" s="97"/>
      <c r="F220" s="97"/>
      <c r="G220" s="100">
        <v>14381.25</v>
      </c>
      <c r="H220" s="99">
        <v>57525</v>
      </c>
      <c r="I220" s="100" t="s">
        <v>1734</v>
      </c>
      <c r="J220" s="99">
        <v>0.25</v>
      </c>
      <c r="K220" s="97"/>
      <c r="L220" s="114">
        <v>2.8000000000000001E-2</v>
      </c>
    </row>
    <row r="222" spans="2:12">
      <c r="B222" s="81"/>
    </row>
    <row r="223" spans="2:12">
      <c r="B223" s="81"/>
    </row>
    <row r="224" spans="2:12">
      <c r="B224" s="82"/>
      <c r="C224" s="83"/>
      <c r="D224" s="1217" t="s">
        <v>1716</v>
      </c>
      <c r="E224" s="1218"/>
      <c r="F224" s="1218"/>
      <c r="G224" s="1219"/>
      <c r="H224" s="1220" t="s">
        <v>1717</v>
      </c>
      <c r="I224" s="1221"/>
      <c r="J224" s="1222"/>
      <c r="K224" s="83"/>
      <c r="L224" s="83"/>
    </row>
    <row r="225" spans="2:12">
      <c r="B225" s="84" t="s">
        <v>1718</v>
      </c>
      <c r="C225" s="85" t="s">
        <v>1719</v>
      </c>
      <c r="D225" s="1253" t="s">
        <v>1720</v>
      </c>
      <c r="E225" s="87" t="s">
        <v>1721</v>
      </c>
      <c r="F225" s="1248" t="s">
        <v>1722</v>
      </c>
      <c r="G225" s="1258" t="s">
        <v>1723</v>
      </c>
      <c r="H225" s="1223" t="s">
        <v>1724</v>
      </c>
      <c r="I225" s="1224"/>
      <c r="J225" s="106" t="s">
        <v>1725</v>
      </c>
      <c r="K225" s="87" t="s">
        <v>1726</v>
      </c>
      <c r="L225" s="106" t="s">
        <v>1727</v>
      </c>
    </row>
    <row r="226" spans="2:12">
      <c r="B226" s="89"/>
      <c r="C226" s="90"/>
      <c r="D226" s="1255"/>
      <c r="E226" s="92" t="s">
        <v>1728</v>
      </c>
      <c r="F226" s="1249"/>
      <c r="G226" s="1259"/>
      <c r="H226" s="1225" t="s">
        <v>1729</v>
      </c>
      <c r="I226" s="1226"/>
      <c r="J226" s="107" t="s">
        <v>1730</v>
      </c>
      <c r="K226" s="90"/>
      <c r="L226" s="90"/>
    </row>
    <row r="227" spans="2:12">
      <c r="B227" s="119" t="s">
        <v>1022</v>
      </c>
      <c r="C227" s="99" t="s">
        <v>1738</v>
      </c>
      <c r="D227" s="100">
        <v>8628.75</v>
      </c>
      <c r="E227" s="97"/>
      <c r="F227" s="97"/>
      <c r="G227" s="100">
        <v>8628.75</v>
      </c>
      <c r="H227" s="99">
        <v>57525</v>
      </c>
      <c r="I227" s="100" t="s">
        <v>1734</v>
      </c>
      <c r="J227" s="99">
        <v>0.15</v>
      </c>
      <c r="K227" s="97"/>
      <c r="L227" s="114">
        <v>1.6799999999999999E-2</v>
      </c>
    </row>
    <row r="228" spans="2:12">
      <c r="B228" s="119" t="s">
        <v>1023</v>
      </c>
      <c r="C228" s="99" t="s">
        <v>1739</v>
      </c>
      <c r="D228" s="97">
        <v>747.83</v>
      </c>
      <c r="E228" s="97"/>
      <c r="F228" s="97"/>
      <c r="G228" s="97">
        <v>747.83</v>
      </c>
      <c r="H228" s="99">
        <v>57525</v>
      </c>
      <c r="I228" s="100" t="s">
        <v>1734</v>
      </c>
      <c r="J228" s="99">
        <v>1.2999999999999999E-2</v>
      </c>
      <c r="K228" s="97"/>
      <c r="L228" s="114">
        <v>1.5E-3</v>
      </c>
    </row>
    <row r="229" spans="2:12">
      <c r="B229" s="119" t="s">
        <v>1024</v>
      </c>
      <c r="C229" s="99" t="s">
        <v>1740</v>
      </c>
      <c r="D229" s="100">
        <v>2301</v>
      </c>
      <c r="E229" s="97"/>
      <c r="F229" s="97"/>
      <c r="G229" s="100">
        <v>2301</v>
      </c>
      <c r="H229" s="99">
        <v>57525</v>
      </c>
      <c r="I229" s="100" t="s">
        <v>1734</v>
      </c>
      <c r="J229" s="99">
        <v>0.04</v>
      </c>
      <c r="K229" s="97"/>
      <c r="L229" s="114">
        <v>4.4999999999999997E-3</v>
      </c>
    </row>
    <row r="230" spans="2:12">
      <c r="B230" s="119" t="s">
        <v>1025</v>
      </c>
      <c r="C230" s="99" t="s">
        <v>1741</v>
      </c>
      <c r="D230" s="100">
        <v>3451.5</v>
      </c>
      <c r="E230" s="97"/>
      <c r="F230" s="97"/>
      <c r="G230" s="100">
        <v>3451.5</v>
      </c>
      <c r="H230" s="99">
        <v>57525</v>
      </c>
      <c r="I230" s="100" t="s">
        <v>1734</v>
      </c>
      <c r="J230" s="99">
        <v>0.06</v>
      </c>
      <c r="K230" s="97"/>
      <c r="L230" s="114">
        <v>6.7000000000000002E-3</v>
      </c>
    </row>
    <row r="231" spans="2:12">
      <c r="B231" s="119" t="s">
        <v>1026</v>
      </c>
      <c r="C231" s="99" t="s">
        <v>1742</v>
      </c>
      <c r="D231" s="97"/>
      <c r="E231" s="99">
        <v>360</v>
      </c>
      <c r="F231" s="97"/>
      <c r="G231" s="97">
        <v>360</v>
      </c>
      <c r="H231" s="99">
        <v>8</v>
      </c>
      <c r="I231" s="100" t="s">
        <v>1743</v>
      </c>
      <c r="J231" s="99">
        <v>45</v>
      </c>
      <c r="K231" s="97"/>
      <c r="L231" s="114">
        <v>6.9999999999999999E-4</v>
      </c>
    </row>
    <row r="232" spans="2:12">
      <c r="B232" s="119" t="s">
        <v>1027</v>
      </c>
      <c r="C232" s="99" t="s">
        <v>1744</v>
      </c>
      <c r="D232" s="97">
        <v>345.15</v>
      </c>
      <c r="E232" s="97"/>
      <c r="F232" s="97"/>
      <c r="G232" s="97">
        <v>345.15</v>
      </c>
      <c r="H232" s="99">
        <v>57525</v>
      </c>
      <c r="I232" s="100" t="s">
        <v>1734</v>
      </c>
      <c r="J232" s="99">
        <v>6.0000000000000001E-3</v>
      </c>
      <c r="K232" s="97"/>
      <c r="L232" s="114">
        <v>6.9999999999999999E-4</v>
      </c>
    </row>
    <row r="233" spans="2:12">
      <c r="B233" s="118" t="s">
        <v>1019</v>
      </c>
      <c r="C233" s="1250" t="s">
        <v>1745</v>
      </c>
      <c r="D233" s="1260">
        <v>115.05</v>
      </c>
      <c r="E233" s="1260"/>
      <c r="F233" s="1260"/>
      <c r="G233" s="1260">
        <v>115.05</v>
      </c>
      <c r="H233" s="1250">
        <v>57525</v>
      </c>
      <c r="I233" s="1266" t="s">
        <v>1734</v>
      </c>
      <c r="J233" s="1250">
        <v>2E-3</v>
      </c>
      <c r="K233" s="1260"/>
      <c r="L233" s="1269">
        <v>2.0000000000000001E-4</v>
      </c>
    </row>
    <row r="234" spans="2:12">
      <c r="B234" s="119">
        <v>0</v>
      </c>
      <c r="C234" s="1251"/>
      <c r="D234" s="1262"/>
      <c r="E234" s="1262"/>
      <c r="F234" s="1262"/>
      <c r="G234" s="1262"/>
      <c r="H234" s="1251"/>
      <c r="I234" s="1267"/>
      <c r="J234" s="1251"/>
      <c r="K234" s="1262"/>
      <c r="L234" s="1270"/>
    </row>
    <row r="235" spans="2:12">
      <c r="B235" s="119" t="s">
        <v>357</v>
      </c>
      <c r="C235" s="99" t="s">
        <v>1767</v>
      </c>
      <c r="D235" s="100">
        <v>20880</v>
      </c>
      <c r="E235" s="99">
        <v>0</v>
      </c>
      <c r="F235" s="99">
        <v>0</v>
      </c>
      <c r="G235" s="100">
        <v>20880</v>
      </c>
      <c r="H235" s="99">
        <v>30000</v>
      </c>
      <c r="I235" s="100" t="s">
        <v>1734</v>
      </c>
      <c r="J235" s="99">
        <v>0.69599999999999995</v>
      </c>
      <c r="K235" s="1230">
        <v>4.07E-2</v>
      </c>
      <c r="L235" s="1231"/>
    </row>
    <row r="236" spans="2:12">
      <c r="B236" s="119" t="s">
        <v>1031</v>
      </c>
      <c r="C236" s="99" t="s">
        <v>1735</v>
      </c>
      <c r="D236" s="97">
        <v>150</v>
      </c>
      <c r="E236" s="97"/>
      <c r="F236" s="97"/>
      <c r="G236" s="97">
        <v>150</v>
      </c>
      <c r="H236" s="99">
        <v>30000</v>
      </c>
      <c r="I236" s="100" t="s">
        <v>1734</v>
      </c>
      <c r="J236" s="99">
        <v>5.0000000000000001E-3</v>
      </c>
      <c r="K236" s="97"/>
      <c r="L236" s="114">
        <v>2.9999999999999997E-4</v>
      </c>
    </row>
    <row r="237" spans="2:12">
      <c r="B237" s="119" t="s">
        <v>1032</v>
      </c>
      <c r="C237" s="99" t="s">
        <v>1736</v>
      </c>
      <c r="D237" s="100">
        <v>4200</v>
      </c>
      <c r="E237" s="97"/>
      <c r="F237" s="97"/>
      <c r="G237" s="100">
        <v>4200</v>
      </c>
      <c r="H237" s="99">
        <v>30000</v>
      </c>
      <c r="I237" s="100" t="s">
        <v>1734</v>
      </c>
      <c r="J237" s="99">
        <v>0.14000000000000001</v>
      </c>
      <c r="K237" s="97"/>
      <c r="L237" s="114">
        <v>8.2000000000000007E-3</v>
      </c>
    </row>
    <row r="238" spans="2:12">
      <c r="B238" s="119" t="s">
        <v>1033</v>
      </c>
      <c r="C238" s="99" t="s">
        <v>1737</v>
      </c>
      <c r="D238" s="100">
        <v>7500</v>
      </c>
      <c r="E238" s="97"/>
      <c r="F238" s="97"/>
      <c r="G238" s="100">
        <v>7500</v>
      </c>
      <c r="H238" s="99">
        <v>30000</v>
      </c>
      <c r="I238" s="100" t="s">
        <v>1734</v>
      </c>
      <c r="J238" s="99">
        <v>0.25</v>
      </c>
      <c r="K238" s="97"/>
      <c r="L238" s="114">
        <v>1.46E-2</v>
      </c>
    </row>
    <row r="239" spans="2:12">
      <c r="B239" s="119" t="s">
        <v>1034</v>
      </c>
      <c r="C239" s="99" t="s">
        <v>1738</v>
      </c>
      <c r="D239" s="100">
        <v>4500</v>
      </c>
      <c r="E239" s="97"/>
      <c r="F239" s="97"/>
      <c r="G239" s="100">
        <v>4500</v>
      </c>
      <c r="H239" s="99">
        <v>30000</v>
      </c>
      <c r="I239" s="100" t="s">
        <v>1734</v>
      </c>
      <c r="J239" s="99">
        <v>0.15</v>
      </c>
      <c r="K239" s="97"/>
      <c r="L239" s="114">
        <v>8.8000000000000005E-3</v>
      </c>
    </row>
    <row r="240" spans="2:12">
      <c r="B240" s="119" t="s">
        <v>1035</v>
      </c>
      <c r="C240" s="99" t="s">
        <v>1739</v>
      </c>
      <c r="D240" s="97">
        <v>390</v>
      </c>
      <c r="E240" s="97"/>
      <c r="F240" s="97"/>
      <c r="G240" s="97">
        <v>390</v>
      </c>
      <c r="H240" s="99">
        <v>30000</v>
      </c>
      <c r="I240" s="100" t="s">
        <v>1734</v>
      </c>
      <c r="J240" s="99">
        <v>1.2999999999999999E-2</v>
      </c>
      <c r="K240" s="97"/>
      <c r="L240" s="114">
        <v>8.0000000000000004E-4</v>
      </c>
    </row>
    <row r="241" spans="2:12">
      <c r="B241" s="119" t="s">
        <v>1036</v>
      </c>
      <c r="C241" s="99" t="s">
        <v>1740</v>
      </c>
      <c r="D241" s="100">
        <v>1500</v>
      </c>
      <c r="E241" s="97"/>
      <c r="F241" s="97"/>
      <c r="G241" s="100">
        <v>1500</v>
      </c>
      <c r="H241" s="99">
        <v>30000</v>
      </c>
      <c r="I241" s="100" t="s">
        <v>1734</v>
      </c>
      <c r="J241" s="99">
        <v>0.05</v>
      </c>
      <c r="K241" s="97"/>
      <c r="L241" s="114">
        <v>2.8999999999999998E-3</v>
      </c>
    </row>
    <row r="242" spans="2:12">
      <c r="B242" s="119" t="s">
        <v>1037</v>
      </c>
      <c r="C242" s="99" t="s">
        <v>1741</v>
      </c>
      <c r="D242" s="100">
        <v>1800</v>
      </c>
      <c r="E242" s="97"/>
      <c r="F242" s="97"/>
      <c r="G242" s="100">
        <v>1800</v>
      </c>
      <c r="H242" s="99">
        <v>30000</v>
      </c>
      <c r="I242" s="100" t="s">
        <v>1734</v>
      </c>
      <c r="J242" s="99">
        <v>0.06</v>
      </c>
      <c r="K242" s="97"/>
      <c r="L242" s="114">
        <v>3.5000000000000001E-3</v>
      </c>
    </row>
    <row r="243" spans="2:12">
      <c r="B243" s="119" t="s">
        <v>1038</v>
      </c>
      <c r="C243" s="99" t="s">
        <v>1742</v>
      </c>
      <c r="D243" s="97"/>
      <c r="E243" s="99">
        <v>0</v>
      </c>
      <c r="F243" s="97"/>
      <c r="G243" s="99">
        <v>0</v>
      </c>
      <c r="H243" s="99">
        <v>0</v>
      </c>
      <c r="I243" s="100" t="s">
        <v>1743</v>
      </c>
      <c r="J243" s="99">
        <v>45</v>
      </c>
      <c r="K243" s="97"/>
      <c r="L243" s="114">
        <v>0</v>
      </c>
    </row>
    <row r="244" spans="2:12">
      <c r="B244" s="119" t="s">
        <v>1039</v>
      </c>
      <c r="C244" s="99" t="s">
        <v>1768</v>
      </c>
      <c r="D244" s="97">
        <v>600</v>
      </c>
      <c r="E244" s="97"/>
      <c r="F244" s="97"/>
      <c r="G244" s="97"/>
      <c r="H244" s="99">
        <v>15000</v>
      </c>
      <c r="I244" s="100" t="s">
        <v>1734</v>
      </c>
      <c r="J244" s="99">
        <v>0.04</v>
      </c>
      <c r="K244" s="97"/>
      <c r="L244" s="97"/>
    </row>
    <row r="245" spans="2:12">
      <c r="B245" s="119" t="s">
        <v>1031</v>
      </c>
      <c r="C245" s="99" t="s">
        <v>1744</v>
      </c>
      <c r="D245" s="97">
        <v>180</v>
      </c>
      <c r="E245" s="97"/>
      <c r="F245" s="97"/>
      <c r="G245" s="97">
        <v>180</v>
      </c>
      <c r="H245" s="99">
        <v>30000</v>
      </c>
      <c r="I245" s="100" t="s">
        <v>1734</v>
      </c>
      <c r="J245" s="99">
        <v>6.0000000000000001E-3</v>
      </c>
      <c r="K245" s="97"/>
      <c r="L245" s="114">
        <v>4.0000000000000002E-4</v>
      </c>
    </row>
    <row r="247" spans="2:12">
      <c r="B247" s="81"/>
    </row>
    <row r="248" spans="2:12">
      <c r="B248" s="81"/>
    </row>
    <row r="249" spans="2:12">
      <c r="B249" s="82"/>
      <c r="C249" s="83"/>
      <c r="D249" s="1217" t="s">
        <v>1716</v>
      </c>
      <c r="E249" s="1218"/>
      <c r="F249" s="1218"/>
      <c r="G249" s="1219"/>
      <c r="H249" s="1220" t="s">
        <v>1717</v>
      </c>
      <c r="I249" s="1221"/>
      <c r="J249" s="1222"/>
      <c r="K249" s="83"/>
      <c r="L249" s="83"/>
    </row>
    <row r="250" spans="2:12">
      <c r="B250" s="84" t="s">
        <v>1718</v>
      </c>
      <c r="C250" s="85" t="s">
        <v>1719</v>
      </c>
      <c r="D250" s="1253" t="s">
        <v>1720</v>
      </c>
      <c r="E250" s="87" t="s">
        <v>1721</v>
      </c>
      <c r="F250" s="1248" t="s">
        <v>1722</v>
      </c>
      <c r="G250" s="1258" t="s">
        <v>1723</v>
      </c>
      <c r="H250" s="1223" t="s">
        <v>1724</v>
      </c>
      <c r="I250" s="1224"/>
      <c r="J250" s="106" t="s">
        <v>1725</v>
      </c>
      <c r="K250" s="87" t="s">
        <v>1726</v>
      </c>
      <c r="L250" s="106" t="s">
        <v>1727</v>
      </c>
    </row>
    <row r="251" spans="2:12">
      <c r="B251" s="89"/>
      <c r="C251" s="90"/>
      <c r="D251" s="1255"/>
      <c r="E251" s="92" t="s">
        <v>1728</v>
      </c>
      <c r="F251" s="1249"/>
      <c r="G251" s="1259"/>
      <c r="H251" s="1225" t="s">
        <v>1729</v>
      </c>
      <c r="I251" s="1226"/>
      <c r="J251" s="107" t="s">
        <v>1730</v>
      </c>
      <c r="K251" s="90"/>
      <c r="L251" s="90"/>
    </row>
    <row r="252" spans="2:12">
      <c r="B252" s="119">
        <v>0</v>
      </c>
      <c r="C252" s="97"/>
      <c r="D252" s="97"/>
      <c r="E252" s="97"/>
      <c r="F252" s="97"/>
      <c r="G252" s="97"/>
      <c r="H252" s="97"/>
      <c r="I252" s="97"/>
      <c r="J252" s="97"/>
      <c r="K252" s="97"/>
      <c r="L252" s="97"/>
    </row>
    <row r="253" spans="2:12">
      <c r="B253" s="118" t="s">
        <v>1031</v>
      </c>
      <c r="C253" s="1250" t="s">
        <v>1745</v>
      </c>
      <c r="D253" s="1264">
        <v>60</v>
      </c>
      <c r="E253" s="1260"/>
      <c r="F253" s="1260"/>
      <c r="G253" s="1264">
        <v>60</v>
      </c>
      <c r="H253" s="1250">
        <v>30000</v>
      </c>
      <c r="I253" s="1266" t="s">
        <v>1734</v>
      </c>
      <c r="J253" s="1250">
        <v>2E-3</v>
      </c>
      <c r="K253" s="1260"/>
      <c r="L253" s="1269">
        <v>1E-4</v>
      </c>
    </row>
    <row r="254" spans="2:12">
      <c r="B254" s="119">
        <v>1</v>
      </c>
      <c r="C254" s="1251"/>
      <c r="D254" s="1265"/>
      <c r="E254" s="1262"/>
      <c r="F254" s="1262"/>
      <c r="G254" s="1265"/>
      <c r="H254" s="1251"/>
      <c r="I254" s="1267"/>
      <c r="J254" s="1251"/>
      <c r="K254" s="1262"/>
      <c r="L254" s="1270"/>
    </row>
    <row r="255" spans="2:12">
      <c r="B255" s="119">
        <v>3.2</v>
      </c>
      <c r="C255" s="99" t="s">
        <v>1769</v>
      </c>
      <c r="D255" s="100">
        <v>37230</v>
      </c>
      <c r="E255" s="99">
        <v>450</v>
      </c>
      <c r="F255" s="99">
        <v>0</v>
      </c>
      <c r="G255" s="100">
        <v>37680</v>
      </c>
      <c r="H255" s="97"/>
      <c r="I255" s="100" t="s">
        <v>1734</v>
      </c>
      <c r="J255" s="97"/>
      <c r="K255" s="1230">
        <v>7.3400000000000007E-2</v>
      </c>
      <c r="L255" s="1231"/>
    </row>
    <row r="256" spans="2:12">
      <c r="B256" s="119" t="s">
        <v>345</v>
      </c>
      <c r="C256" s="99" t="s">
        <v>1766</v>
      </c>
      <c r="D256" s="100">
        <v>23310</v>
      </c>
      <c r="E256" s="99">
        <v>450</v>
      </c>
      <c r="F256" s="99">
        <v>0</v>
      </c>
      <c r="G256" s="100">
        <v>23760</v>
      </c>
      <c r="H256" s="99">
        <v>35000</v>
      </c>
      <c r="I256" s="100" t="s">
        <v>1734</v>
      </c>
      <c r="J256" s="99">
        <v>0.67900000000000005</v>
      </c>
      <c r="K256" s="1230">
        <v>4.6300000000000001E-2</v>
      </c>
      <c r="L256" s="1231"/>
    </row>
    <row r="257" spans="2:12">
      <c r="B257" s="119" t="s">
        <v>1044</v>
      </c>
      <c r="C257" s="99" t="s">
        <v>1735</v>
      </c>
      <c r="D257" s="97">
        <v>175</v>
      </c>
      <c r="E257" s="97"/>
      <c r="F257" s="97"/>
      <c r="G257" s="97">
        <v>175</v>
      </c>
      <c r="H257" s="99">
        <v>35000</v>
      </c>
      <c r="I257" s="100" t="s">
        <v>1734</v>
      </c>
      <c r="J257" s="99">
        <v>5.0000000000000001E-3</v>
      </c>
      <c r="K257" s="97"/>
      <c r="L257" s="114">
        <v>2.9999999999999997E-4</v>
      </c>
    </row>
    <row r="258" spans="2:12">
      <c r="B258" s="119" t="s">
        <v>1045</v>
      </c>
      <c r="C258" s="99" t="s">
        <v>1736</v>
      </c>
      <c r="D258" s="100">
        <v>4900</v>
      </c>
      <c r="E258" s="97"/>
      <c r="F258" s="97"/>
      <c r="G258" s="100">
        <v>4900</v>
      </c>
      <c r="H258" s="99">
        <v>35000</v>
      </c>
      <c r="I258" s="100" t="s">
        <v>1734</v>
      </c>
      <c r="J258" s="99">
        <v>0.14000000000000001</v>
      </c>
      <c r="K258" s="97"/>
      <c r="L258" s="114">
        <v>9.4999999999999998E-3</v>
      </c>
    </row>
    <row r="259" spans="2:12">
      <c r="B259" s="119" t="s">
        <v>1046</v>
      </c>
      <c r="C259" s="99" t="s">
        <v>1737</v>
      </c>
      <c r="D259" s="100">
        <v>8750</v>
      </c>
      <c r="E259" s="97"/>
      <c r="F259" s="97"/>
      <c r="G259" s="100">
        <v>8750</v>
      </c>
      <c r="H259" s="99">
        <v>35000</v>
      </c>
      <c r="I259" s="100" t="s">
        <v>1734</v>
      </c>
      <c r="J259" s="99">
        <v>0.25</v>
      </c>
      <c r="K259" s="97"/>
      <c r="L259" s="114">
        <v>1.7100000000000001E-2</v>
      </c>
    </row>
    <row r="260" spans="2:12">
      <c r="B260" s="119" t="s">
        <v>1047</v>
      </c>
      <c r="C260" s="99" t="s">
        <v>1738</v>
      </c>
      <c r="D260" s="100">
        <v>5250</v>
      </c>
      <c r="E260" s="97"/>
      <c r="F260" s="97"/>
      <c r="G260" s="100">
        <v>5250</v>
      </c>
      <c r="H260" s="99">
        <v>35000</v>
      </c>
      <c r="I260" s="100" t="s">
        <v>1734</v>
      </c>
      <c r="J260" s="99">
        <v>0.15</v>
      </c>
      <c r="K260" s="97"/>
      <c r="L260" s="114">
        <v>1.0200000000000001E-2</v>
      </c>
    </row>
    <row r="261" spans="2:12">
      <c r="B261" s="119" t="s">
        <v>1048</v>
      </c>
      <c r="C261" s="99" t="s">
        <v>1739</v>
      </c>
      <c r="D261" s="97">
        <v>455</v>
      </c>
      <c r="E261" s="97"/>
      <c r="F261" s="97"/>
      <c r="G261" s="97">
        <v>455</v>
      </c>
      <c r="H261" s="99">
        <v>35000</v>
      </c>
      <c r="I261" s="100" t="s">
        <v>1734</v>
      </c>
      <c r="J261" s="99">
        <v>1.2999999999999999E-2</v>
      </c>
      <c r="K261" s="97"/>
      <c r="L261" s="114">
        <v>8.9999999999999998E-4</v>
      </c>
    </row>
    <row r="262" spans="2:12">
      <c r="B262" s="119" t="s">
        <v>1049</v>
      </c>
      <c r="C262" s="99" t="s">
        <v>1740</v>
      </c>
      <c r="D262" s="100">
        <v>1400</v>
      </c>
      <c r="E262" s="97"/>
      <c r="F262" s="97"/>
      <c r="G262" s="100">
        <v>1400</v>
      </c>
      <c r="H262" s="99">
        <v>35000</v>
      </c>
      <c r="I262" s="100" t="s">
        <v>1734</v>
      </c>
      <c r="J262" s="99">
        <v>0.04</v>
      </c>
      <c r="K262" s="97"/>
      <c r="L262" s="114">
        <v>2.7000000000000001E-3</v>
      </c>
    </row>
    <row r="263" spans="2:12">
      <c r="B263" s="119" t="s">
        <v>1050</v>
      </c>
      <c r="C263" s="99" t="s">
        <v>1741</v>
      </c>
      <c r="D263" s="100">
        <v>2100</v>
      </c>
      <c r="E263" s="97"/>
      <c r="F263" s="97"/>
      <c r="G263" s="100">
        <v>2100</v>
      </c>
      <c r="H263" s="99">
        <v>35000</v>
      </c>
      <c r="I263" s="100" t="s">
        <v>1734</v>
      </c>
      <c r="J263" s="99">
        <v>0.06</v>
      </c>
      <c r="K263" s="97"/>
      <c r="L263" s="114">
        <v>4.1000000000000003E-3</v>
      </c>
    </row>
    <row r="264" spans="2:12">
      <c r="B264" s="119" t="s">
        <v>1051</v>
      </c>
      <c r="C264" s="99" t="s">
        <v>1742</v>
      </c>
      <c r="D264" s="97"/>
      <c r="E264" s="99">
        <v>450</v>
      </c>
      <c r="F264" s="97"/>
      <c r="G264" s="97">
        <v>450</v>
      </c>
      <c r="H264" s="99">
        <v>10</v>
      </c>
      <c r="I264" s="100" t="s">
        <v>1743</v>
      </c>
      <c r="J264" s="99">
        <v>45</v>
      </c>
      <c r="K264" s="97"/>
      <c r="L264" s="114">
        <v>8.9999999999999998E-4</v>
      </c>
    </row>
    <row r="265" spans="2:12">
      <c r="B265" s="119" t="s">
        <v>1052</v>
      </c>
      <c r="C265" s="99" t="s">
        <v>1744</v>
      </c>
      <c r="D265" s="97">
        <v>210</v>
      </c>
      <c r="E265" s="97"/>
      <c r="F265" s="97"/>
      <c r="G265" s="97">
        <v>210</v>
      </c>
      <c r="H265" s="99">
        <v>35000</v>
      </c>
      <c r="I265" s="100" t="s">
        <v>1734</v>
      </c>
      <c r="J265" s="99">
        <v>6.0000000000000001E-3</v>
      </c>
      <c r="K265" s="97"/>
      <c r="L265" s="114">
        <v>4.0000000000000002E-4</v>
      </c>
    </row>
    <row r="266" spans="2:12">
      <c r="B266" s="118" t="s">
        <v>1044</v>
      </c>
      <c r="C266" s="1250" t="s">
        <v>1745</v>
      </c>
      <c r="D266" s="1264">
        <v>70</v>
      </c>
      <c r="E266" s="1260"/>
      <c r="F266" s="1260"/>
      <c r="G266" s="1264">
        <v>70</v>
      </c>
      <c r="H266" s="1250">
        <v>35000</v>
      </c>
      <c r="I266" s="1266" t="s">
        <v>1734</v>
      </c>
      <c r="J266" s="1250">
        <v>2E-3</v>
      </c>
      <c r="K266" s="1260"/>
      <c r="L266" s="1269">
        <v>1E-4</v>
      </c>
    </row>
    <row r="267" spans="2:12">
      <c r="B267" s="119">
        <v>0</v>
      </c>
      <c r="C267" s="1251"/>
      <c r="D267" s="1265"/>
      <c r="E267" s="1262"/>
      <c r="F267" s="1262"/>
      <c r="G267" s="1265"/>
      <c r="H267" s="1251"/>
      <c r="I267" s="1267"/>
      <c r="J267" s="1251"/>
      <c r="K267" s="1262"/>
      <c r="L267" s="1270"/>
    </row>
    <row r="268" spans="2:12">
      <c r="B268" s="119" t="s">
        <v>346</v>
      </c>
      <c r="C268" s="99" t="s">
        <v>1767</v>
      </c>
      <c r="D268" s="100">
        <v>13920</v>
      </c>
      <c r="E268" s="99">
        <v>0</v>
      </c>
      <c r="F268" s="99">
        <v>0</v>
      </c>
      <c r="G268" s="100">
        <v>13920</v>
      </c>
      <c r="H268" s="99">
        <v>20000</v>
      </c>
      <c r="I268" s="100" t="s">
        <v>1734</v>
      </c>
      <c r="J268" s="99">
        <v>0.69599999999999995</v>
      </c>
      <c r="K268" s="1230">
        <v>2.7099999999999999E-2</v>
      </c>
      <c r="L268" s="1231"/>
    </row>
    <row r="269" spans="2:12">
      <c r="B269" s="119" t="s">
        <v>1056</v>
      </c>
      <c r="C269" s="99" t="s">
        <v>1735</v>
      </c>
      <c r="D269" s="97">
        <v>100</v>
      </c>
      <c r="E269" s="97"/>
      <c r="F269" s="97"/>
      <c r="G269" s="97">
        <v>100</v>
      </c>
      <c r="H269" s="99">
        <v>20000</v>
      </c>
      <c r="I269" s="100" t="s">
        <v>1734</v>
      </c>
      <c r="J269" s="99">
        <v>5.0000000000000001E-3</v>
      </c>
      <c r="K269" s="97"/>
      <c r="L269" s="114">
        <v>2.0000000000000001E-4</v>
      </c>
    </row>
    <row r="270" spans="2:12">
      <c r="B270" s="119" t="s">
        <v>1057</v>
      </c>
      <c r="C270" s="99" t="s">
        <v>1736</v>
      </c>
      <c r="D270" s="100">
        <v>2800</v>
      </c>
      <c r="E270" s="97"/>
      <c r="F270" s="97"/>
      <c r="G270" s="100">
        <v>2800</v>
      </c>
      <c r="H270" s="99">
        <v>20000</v>
      </c>
      <c r="I270" s="100" t="s">
        <v>1734</v>
      </c>
      <c r="J270" s="99">
        <v>0.14000000000000001</v>
      </c>
      <c r="K270" s="97"/>
      <c r="L270" s="114">
        <v>5.4999999999999997E-3</v>
      </c>
    </row>
    <row r="272" spans="2:12">
      <c r="B272" s="81"/>
    </row>
    <row r="273" spans="2:12">
      <c r="B273" s="81"/>
    </row>
    <row r="274" spans="2:12">
      <c r="B274" s="82"/>
      <c r="C274" s="83"/>
      <c r="D274" s="1217" t="s">
        <v>1716</v>
      </c>
      <c r="E274" s="1218"/>
      <c r="F274" s="1218"/>
      <c r="G274" s="1219"/>
      <c r="H274" s="1220" t="s">
        <v>1717</v>
      </c>
      <c r="I274" s="1221"/>
      <c r="J274" s="1222"/>
      <c r="K274" s="83"/>
      <c r="L274" s="83"/>
    </row>
    <row r="275" spans="2:12">
      <c r="B275" s="84" t="s">
        <v>1718</v>
      </c>
      <c r="C275" s="85" t="s">
        <v>1719</v>
      </c>
      <c r="D275" s="1248" t="s">
        <v>1720</v>
      </c>
      <c r="E275" s="87" t="s">
        <v>1721</v>
      </c>
      <c r="F275" s="1248" t="s">
        <v>1722</v>
      </c>
      <c r="G275" s="1258" t="s">
        <v>1723</v>
      </c>
      <c r="H275" s="1223" t="s">
        <v>1724</v>
      </c>
      <c r="I275" s="1224"/>
      <c r="J275" s="106" t="s">
        <v>1725</v>
      </c>
      <c r="K275" s="87" t="s">
        <v>1726</v>
      </c>
      <c r="L275" s="106" t="s">
        <v>1727</v>
      </c>
    </row>
    <row r="276" spans="2:12">
      <c r="B276" s="89"/>
      <c r="C276" s="90"/>
      <c r="D276" s="1249"/>
      <c r="E276" s="92" t="s">
        <v>1728</v>
      </c>
      <c r="F276" s="1249"/>
      <c r="G276" s="1259"/>
      <c r="H276" s="1225" t="s">
        <v>1729</v>
      </c>
      <c r="I276" s="1226"/>
      <c r="J276" s="107" t="s">
        <v>1730</v>
      </c>
      <c r="K276" s="90"/>
      <c r="L276" s="90"/>
    </row>
    <row r="277" spans="2:12">
      <c r="B277" s="119" t="s">
        <v>1058</v>
      </c>
      <c r="C277" s="99" t="s">
        <v>1737</v>
      </c>
      <c r="D277" s="99">
        <v>5000</v>
      </c>
      <c r="E277" s="97"/>
      <c r="F277" s="97"/>
      <c r="G277" s="100">
        <v>5000</v>
      </c>
      <c r="H277" s="99">
        <v>20000</v>
      </c>
      <c r="I277" s="100" t="s">
        <v>1734</v>
      </c>
      <c r="J277" s="99">
        <v>0.25</v>
      </c>
      <c r="K277" s="97"/>
      <c r="L277" s="114">
        <v>9.7000000000000003E-3</v>
      </c>
    </row>
    <row r="278" spans="2:12">
      <c r="B278" s="119" t="s">
        <v>1059</v>
      </c>
      <c r="C278" s="99" t="s">
        <v>1738</v>
      </c>
      <c r="D278" s="99">
        <v>3000</v>
      </c>
      <c r="E278" s="97"/>
      <c r="F278" s="97"/>
      <c r="G278" s="100">
        <v>3000</v>
      </c>
      <c r="H278" s="99">
        <v>20000</v>
      </c>
      <c r="I278" s="100" t="s">
        <v>1734</v>
      </c>
      <c r="J278" s="99">
        <v>0.15</v>
      </c>
      <c r="K278" s="97"/>
      <c r="L278" s="114">
        <v>5.7999999999999996E-3</v>
      </c>
    </row>
    <row r="279" spans="2:12">
      <c r="B279" s="119" t="s">
        <v>1060</v>
      </c>
      <c r="C279" s="99" t="s">
        <v>1739</v>
      </c>
      <c r="D279" s="99">
        <v>260</v>
      </c>
      <c r="E279" s="97"/>
      <c r="F279" s="97"/>
      <c r="G279" s="97">
        <v>260</v>
      </c>
      <c r="H279" s="99">
        <v>20000</v>
      </c>
      <c r="I279" s="100" t="s">
        <v>1734</v>
      </c>
      <c r="J279" s="99">
        <v>1.2999999999999999E-2</v>
      </c>
      <c r="K279" s="97"/>
      <c r="L279" s="114">
        <v>5.0000000000000001E-4</v>
      </c>
    </row>
    <row r="280" spans="2:12">
      <c r="B280" s="119" t="s">
        <v>1061</v>
      </c>
      <c r="C280" s="99" t="s">
        <v>1740</v>
      </c>
      <c r="D280" s="99">
        <v>1000</v>
      </c>
      <c r="E280" s="97"/>
      <c r="F280" s="97"/>
      <c r="G280" s="100">
        <v>1000</v>
      </c>
      <c r="H280" s="99">
        <v>20000</v>
      </c>
      <c r="I280" s="100" t="s">
        <v>1734</v>
      </c>
      <c r="J280" s="99">
        <v>0.05</v>
      </c>
      <c r="K280" s="97"/>
      <c r="L280" s="114">
        <v>1.9E-3</v>
      </c>
    </row>
    <row r="281" spans="2:12">
      <c r="B281" s="119" t="s">
        <v>1062</v>
      </c>
      <c r="C281" s="99" t="s">
        <v>1741</v>
      </c>
      <c r="D281" s="99">
        <v>1200</v>
      </c>
      <c r="E281" s="97"/>
      <c r="F281" s="97"/>
      <c r="G281" s="100">
        <v>1200</v>
      </c>
      <c r="H281" s="99">
        <v>20000</v>
      </c>
      <c r="I281" s="100" t="s">
        <v>1734</v>
      </c>
      <c r="J281" s="99">
        <v>0.06</v>
      </c>
      <c r="K281" s="97"/>
      <c r="L281" s="114">
        <v>2.3E-3</v>
      </c>
    </row>
    <row r="282" spans="2:12">
      <c r="B282" s="119" t="s">
        <v>1063</v>
      </c>
      <c r="C282" s="99" t="s">
        <v>1742</v>
      </c>
      <c r="D282" s="97"/>
      <c r="E282" s="99">
        <v>0</v>
      </c>
      <c r="F282" s="97"/>
      <c r="G282" s="99">
        <v>0</v>
      </c>
      <c r="H282" s="99">
        <v>0</v>
      </c>
      <c r="I282" s="100" t="s">
        <v>1743</v>
      </c>
      <c r="J282" s="99">
        <v>45</v>
      </c>
      <c r="K282" s="97"/>
      <c r="L282" s="114">
        <v>0</v>
      </c>
    </row>
    <row r="283" spans="2:12">
      <c r="B283" s="119" t="s">
        <v>1064</v>
      </c>
      <c r="C283" s="99" t="s">
        <v>1768</v>
      </c>
      <c r="D283" s="99">
        <v>400</v>
      </c>
      <c r="E283" s="97"/>
      <c r="F283" s="97"/>
      <c r="G283" s="97"/>
      <c r="H283" s="99">
        <v>10000</v>
      </c>
      <c r="I283" s="100" t="s">
        <v>1734</v>
      </c>
      <c r="J283" s="99">
        <v>0.04</v>
      </c>
      <c r="K283" s="97"/>
      <c r="L283" s="114">
        <v>0</v>
      </c>
    </row>
    <row r="284" spans="2:12">
      <c r="B284" s="118" t="s">
        <v>1056</v>
      </c>
      <c r="C284" s="1250" t="s">
        <v>1744</v>
      </c>
      <c r="D284" s="1250">
        <v>120</v>
      </c>
      <c r="E284" s="1260"/>
      <c r="F284" s="1260"/>
      <c r="G284" s="1260">
        <v>120</v>
      </c>
      <c r="H284" s="1250">
        <v>20000</v>
      </c>
      <c r="I284" s="1266" t="s">
        <v>1734</v>
      </c>
      <c r="J284" s="1250">
        <v>6.0000000000000001E-3</v>
      </c>
      <c r="K284" s="1260"/>
      <c r="L284" s="1269">
        <v>2.0000000000000001E-4</v>
      </c>
    </row>
    <row r="285" spans="2:12">
      <c r="B285" s="119">
        <v>0</v>
      </c>
      <c r="C285" s="1251"/>
      <c r="D285" s="1251"/>
      <c r="E285" s="1262"/>
      <c r="F285" s="1262"/>
      <c r="G285" s="1262"/>
      <c r="H285" s="1251"/>
      <c r="I285" s="1267"/>
      <c r="J285" s="1251"/>
      <c r="K285" s="1262"/>
      <c r="L285" s="1270"/>
    </row>
    <row r="286" spans="2:12">
      <c r="B286" s="118" t="s">
        <v>1056</v>
      </c>
      <c r="C286" s="1250" t="s">
        <v>1745</v>
      </c>
      <c r="D286" s="1250">
        <v>40</v>
      </c>
      <c r="E286" s="1260"/>
      <c r="F286" s="1260"/>
      <c r="G286" s="1264">
        <v>40</v>
      </c>
      <c r="H286" s="1250">
        <v>20000</v>
      </c>
      <c r="I286" s="1266" t="s">
        <v>1734</v>
      </c>
      <c r="J286" s="1250">
        <v>2E-3</v>
      </c>
      <c r="K286" s="1260"/>
      <c r="L286" s="1269">
        <v>1E-4</v>
      </c>
    </row>
    <row r="287" spans="2:12">
      <c r="B287" s="119">
        <v>1</v>
      </c>
      <c r="C287" s="1251"/>
      <c r="D287" s="1251"/>
      <c r="E287" s="1262"/>
      <c r="F287" s="1262"/>
      <c r="G287" s="1265"/>
      <c r="H287" s="1251"/>
      <c r="I287" s="1267"/>
      <c r="J287" s="1251"/>
      <c r="K287" s="1262"/>
      <c r="L287" s="1270"/>
    </row>
    <row r="288" spans="2:12">
      <c r="B288" s="93">
        <v>4</v>
      </c>
      <c r="C288" s="92" t="s">
        <v>1770</v>
      </c>
      <c r="D288" s="92">
        <v>0</v>
      </c>
      <c r="E288" s="92">
        <v>43141.88</v>
      </c>
      <c r="F288" s="92">
        <v>0</v>
      </c>
      <c r="G288" s="96">
        <v>43141.88</v>
      </c>
      <c r="H288" s="97"/>
      <c r="I288" s="97"/>
      <c r="J288" s="97"/>
      <c r="K288" s="1230">
        <v>8.4099999999999994E-2</v>
      </c>
      <c r="L288" s="1231"/>
    </row>
    <row r="289" spans="2:12">
      <c r="B289" s="119">
        <v>4.0999999999999996</v>
      </c>
      <c r="C289" s="99" t="s">
        <v>1771</v>
      </c>
      <c r="D289" s="97"/>
      <c r="E289" s="99">
        <v>21102.9</v>
      </c>
      <c r="F289" s="97"/>
      <c r="G289" s="100">
        <v>21102.9</v>
      </c>
      <c r="H289" s="97"/>
      <c r="I289" s="97"/>
      <c r="J289" s="97"/>
      <c r="K289" s="1230">
        <v>4.1099999999999998E-2</v>
      </c>
      <c r="L289" s="1231"/>
    </row>
    <row r="290" spans="2:12">
      <c r="B290" s="119" t="s">
        <v>435</v>
      </c>
      <c r="C290" s="99" t="s">
        <v>1772</v>
      </c>
      <c r="D290" s="97"/>
      <c r="E290" s="99">
        <v>21102.9</v>
      </c>
      <c r="F290" s="97"/>
      <c r="G290" s="100">
        <v>21102.9</v>
      </c>
      <c r="H290" s="97"/>
      <c r="I290" s="97"/>
      <c r="J290" s="97"/>
      <c r="K290" s="1230">
        <v>4.1099999999999998E-2</v>
      </c>
      <c r="L290" s="1231"/>
    </row>
    <row r="291" spans="2:12">
      <c r="B291" s="119" t="s">
        <v>1288</v>
      </c>
      <c r="C291" s="99" t="s">
        <v>1733</v>
      </c>
      <c r="D291" s="97"/>
      <c r="E291" s="99">
        <v>6371.89</v>
      </c>
      <c r="F291" s="97"/>
      <c r="G291" s="100">
        <v>6371.89</v>
      </c>
      <c r="H291" s="99">
        <v>19474</v>
      </c>
      <c r="I291" s="100" t="s">
        <v>1734</v>
      </c>
      <c r="J291" s="99">
        <v>0.32700000000000001</v>
      </c>
      <c r="K291" s="1230">
        <v>1.24E-2</v>
      </c>
      <c r="L291" s="1231"/>
    </row>
    <row r="292" spans="2:12">
      <c r="B292" s="119" t="s">
        <v>1295</v>
      </c>
      <c r="C292" s="99" t="s">
        <v>1746</v>
      </c>
      <c r="D292" s="97"/>
      <c r="E292" s="99">
        <v>6371.89</v>
      </c>
      <c r="F292" s="97"/>
      <c r="G292" s="100">
        <v>6371.89</v>
      </c>
      <c r="H292" s="99">
        <v>19474</v>
      </c>
      <c r="I292" s="100" t="s">
        <v>1734</v>
      </c>
      <c r="J292" s="99">
        <v>0.32700000000000001</v>
      </c>
      <c r="K292" s="1230">
        <v>1.24E-2</v>
      </c>
      <c r="L292" s="1231"/>
    </row>
    <row r="293" spans="2:12">
      <c r="B293" s="119" t="s">
        <v>1297</v>
      </c>
      <c r="C293" s="99" t="s">
        <v>1747</v>
      </c>
      <c r="D293" s="97"/>
      <c r="E293" s="99">
        <v>1634.33</v>
      </c>
      <c r="F293" s="97"/>
      <c r="G293" s="100">
        <v>1634.33</v>
      </c>
      <c r="H293" s="99">
        <v>45398</v>
      </c>
      <c r="I293" s="100" t="s">
        <v>1734</v>
      </c>
      <c r="J293" s="99">
        <v>3.5999999999999997E-2</v>
      </c>
      <c r="K293" s="1230">
        <v>3.2000000000000002E-3</v>
      </c>
      <c r="L293" s="1231"/>
    </row>
    <row r="294" spans="2:12">
      <c r="B294" s="119" t="s">
        <v>1300</v>
      </c>
      <c r="C294" s="99" t="s">
        <v>1748</v>
      </c>
      <c r="D294" s="97"/>
      <c r="E294" s="99">
        <v>13.48</v>
      </c>
      <c r="F294" s="97"/>
      <c r="G294" s="102">
        <v>13.48</v>
      </c>
      <c r="H294" s="99">
        <v>949</v>
      </c>
      <c r="I294" s="100" t="s">
        <v>1734</v>
      </c>
      <c r="J294" s="99">
        <v>1.4E-2</v>
      </c>
      <c r="K294" s="1230">
        <v>0</v>
      </c>
      <c r="L294" s="1231"/>
    </row>
    <row r="295" spans="2:12">
      <c r="B295" s="119" t="s">
        <v>1302</v>
      </c>
      <c r="C295" s="99" t="s">
        <v>1749</v>
      </c>
      <c r="D295" s="97"/>
      <c r="E295" s="99">
        <v>7.4</v>
      </c>
      <c r="F295" s="97"/>
      <c r="G295" s="99">
        <v>7.4</v>
      </c>
      <c r="H295" s="99">
        <v>521</v>
      </c>
      <c r="I295" s="100" t="s">
        <v>1734</v>
      </c>
      <c r="J295" s="99">
        <v>1.4E-2</v>
      </c>
      <c r="K295" s="1230">
        <v>0</v>
      </c>
      <c r="L295" s="1231"/>
    </row>
    <row r="297" spans="2:12">
      <c r="B297" s="81"/>
    </row>
    <row r="298" spans="2:12">
      <c r="B298" s="81"/>
    </row>
    <row r="299" spans="2:12">
      <c r="B299" s="82"/>
      <c r="C299" s="83"/>
      <c r="D299" s="1217" t="s">
        <v>1716</v>
      </c>
      <c r="E299" s="1218"/>
      <c r="F299" s="1218"/>
      <c r="G299" s="1219"/>
      <c r="H299" s="1220" t="s">
        <v>1717</v>
      </c>
      <c r="I299" s="1221"/>
      <c r="J299" s="1222"/>
      <c r="K299" s="83"/>
      <c r="L299" s="83"/>
    </row>
    <row r="300" spans="2:12">
      <c r="B300" s="84" t="s">
        <v>1718</v>
      </c>
      <c r="C300" s="85" t="s">
        <v>1719</v>
      </c>
      <c r="D300" s="1258" t="s">
        <v>1720</v>
      </c>
      <c r="E300" s="87" t="s">
        <v>1721</v>
      </c>
      <c r="F300" s="1258" t="s">
        <v>1722</v>
      </c>
      <c r="G300" s="1248" t="s">
        <v>1723</v>
      </c>
      <c r="H300" s="1223" t="s">
        <v>1724</v>
      </c>
      <c r="I300" s="1224"/>
      <c r="J300" s="106" t="s">
        <v>1725</v>
      </c>
      <c r="K300" s="87" t="s">
        <v>1726</v>
      </c>
      <c r="L300" s="106" t="s">
        <v>1727</v>
      </c>
    </row>
    <row r="301" spans="2:12">
      <c r="B301" s="89"/>
      <c r="C301" s="90"/>
      <c r="D301" s="1259"/>
      <c r="E301" s="92" t="s">
        <v>1728</v>
      </c>
      <c r="F301" s="1259"/>
      <c r="G301" s="1249"/>
      <c r="H301" s="1225" t="s">
        <v>1729</v>
      </c>
      <c r="I301" s="1226"/>
      <c r="J301" s="107" t="s">
        <v>1730</v>
      </c>
      <c r="K301" s="90"/>
      <c r="L301" s="90"/>
    </row>
    <row r="302" spans="2:12">
      <c r="B302" s="98" t="s">
        <v>1308</v>
      </c>
      <c r="C302" s="99" t="s">
        <v>1752</v>
      </c>
      <c r="D302" s="97"/>
      <c r="E302" s="99">
        <v>176.51</v>
      </c>
      <c r="F302" s="97"/>
      <c r="G302" s="99">
        <v>176.51</v>
      </c>
      <c r="H302" s="99">
        <v>39225</v>
      </c>
      <c r="I302" s="100" t="s">
        <v>1734</v>
      </c>
      <c r="J302" s="99">
        <v>5.0000000000000001E-3</v>
      </c>
      <c r="K302" s="1230">
        <v>2.9999999999999997E-4</v>
      </c>
      <c r="L302" s="1231"/>
    </row>
    <row r="303" spans="2:12">
      <c r="B303" s="98" t="s">
        <v>1311</v>
      </c>
      <c r="C303" s="99" t="s">
        <v>1753</v>
      </c>
      <c r="D303" s="97"/>
      <c r="E303" s="99">
        <v>94.21</v>
      </c>
      <c r="F303" s="97"/>
      <c r="G303" s="99">
        <v>94.21</v>
      </c>
      <c r="H303" s="99">
        <v>20936</v>
      </c>
      <c r="I303" s="100" t="s">
        <v>1734</v>
      </c>
      <c r="J303" s="99">
        <v>5.0000000000000001E-3</v>
      </c>
      <c r="K303" s="1230">
        <v>2.0000000000000001E-4</v>
      </c>
      <c r="L303" s="1231"/>
    </row>
    <row r="304" spans="2:12">
      <c r="B304" s="98" t="s">
        <v>1315</v>
      </c>
      <c r="C304" s="99" t="s">
        <v>1754</v>
      </c>
      <c r="D304" s="97"/>
      <c r="E304" s="99">
        <v>20.25</v>
      </c>
      <c r="F304" s="97"/>
      <c r="G304" s="99">
        <v>20.25</v>
      </c>
      <c r="H304" s="99">
        <v>4500</v>
      </c>
      <c r="I304" s="100" t="s">
        <v>1734</v>
      </c>
      <c r="J304" s="99">
        <v>5.0000000000000001E-3</v>
      </c>
      <c r="K304" s="1230">
        <v>0</v>
      </c>
      <c r="L304" s="1231"/>
    </row>
    <row r="305" spans="2:12">
      <c r="B305" s="118" t="s">
        <v>1288</v>
      </c>
      <c r="C305" s="1250" t="s">
        <v>1755</v>
      </c>
      <c r="D305" s="1260"/>
      <c r="E305" s="1250">
        <v>89.48</v>
      </c>
      <c r="F305" s="1260"/>
      <c r="G305" s="1250">
        <v>89.48</v>
      </c>
      <c r="H305" s="1250">
        <v>19884</v>
      </c>
      <c r="I305" s="1266" t="s">
        <v>1734</v>
      </c>
      <c r="J305" s="1250">
        <v>5.0000000000000001E-3</v>
      </c>
      <c r="K305" s="1232">
        <v>2.0000000000000001E-4</v>
      </c>
      <c r="L305" s="1233"/>
    </row>
    <row r="306" spans="2:12">
      <c r="B306" s="119">
        <v>0</v>
      </c>
      <c r="C306" s="1251"/>
      <c r="D306" s="1262"/>
      <c r="E306" s="1251"/>
      <c r="F306" s="1262"/>
      <c r="G306" s="1251"/>
      <c r="H306" s="1251"/>
      <c r="I306" s="1267"/>
      <c r="J306" s="1251"/>
      <c r="K306" s="1271"/>
      <c r="L306" s="1272"/>
    </row>
    <row r="307" spans="2:12">
      <c r="B307" s="118" t="s">
        <v>1288</v>
      </c>
      <c r="C307" s="1250" t="s">
        <v>1756</v>
      </c>
      <c r="D307" s="1260"/>
      <c r="E307" s="1250">
        <v>89.48</v>
      </c>
      <c r="F307" s="1260"/>
      <c r="G307" s="1250">
        <v>89.48</v>
      </c>
      <c r="H307" s="1250">
        <v>19884</v>
      </c>
      <c r="I307" s="1266" t="s">
        <v>1734</v>
      </c>
      <c r="J307" s="1250">
        <v>5.0000000000000001E-3</v>
      </c>
      <c r="K307" s="1232">
        <v>2.0000000000000001E-4</v>
      </c>
      <c r="L307" s="1233"/>
    </row>
    <row r="308" spans="2:12">
      <c r="B308" s="119">
        <v>1</v>
      </c>
      <c r="C308" s="1251"/>
      <c r="D308" s="1262"/>
      <c r="E308" s="1251"/>
      <c r="F308" s="1262"/>
      <c r="G308" s="1251"/>
      <c r="H308" s="1251"/>
      <c r="I308" s="1267"/>
      <c r="J308" s="1251"/>
      <c r="K308" s="1271"/>
      <c r="L308" s="1272"/>
    </row>
    <row r="309" spans="2:12">
      <c r="B309" s="118" t="s">
        <v>1288</v>
      </c>
      <c r="C309" s="1250" t="s">
        <v>1757</v>
      </c>
      <c r="D309" s="1260"/>
      <c r="E309" s="1250">
        <v>56.66</v>
      </c>
      <c r="F309" s="1260"/>
      <c r="G309" s="1250">
        <v>56.66</v>
      </c>
      <c r="H309" s="1250">
        <v>12591</v>
      </c>
      <c r="I309" s="1266" t="s">
        <v>1734</v>
      </c>
      <c r="J309" s="1250">
        <v>5.0000000000000001E-3</v>
      </c>
      <c r="K309" s="1232">
        <v>1E-4</v>
      </c>
      <c r="L309" s="1233"/>
    </row>
    <row r="310" spans="2:12">
      <c r="B310" s="119">
        <v>2</v>
      </c>
      <c r="C310" s="1251"/>
      <c r="D310" s="1262"/>
      <c r="E310" s="1251"/>
      <c r="F310" s="1262"/>
      <c r="G310" s="1251"/>
      <c r="H310" s="1251"/>
      <c r="I310" s="1267"/>
      <c r="J310" s="1251"/>
      <c r="K310" s="1271"/>
      <c r="L310" s="1272"/>
    </row>
    <row r="311" spans="2:12">
      <c r="B311" s="118" t="s">
        <v>1288</v>
      </c>
      <c r="C311" s="1250" t="s">
        <v>1758</v>
      </c>
      <c r="D311" s="1260"/>
      <c r="E311" s="1250">
        <v>56.66</v>
      </c>
      <c r="F311" s="1260"/>
      <c r="G311" s="1250">
        <v>56.66</v>
      </c>
      <c r="H311" s="1250">
        <v>12591</v>
      </c>
      <c r="I311" s="1266" t="s">
        <v>1734</v>
      </c>
      <c r="J311" s="1250">
        <v>5.0000000000000001E-3</v>
      </c>
      <c r="K311" s="1232">
        <v>1E-4</v>
      </c>
      <c r="L311" s="1233"/>
    </row>
    <row r="312" spans="2:12">
      <c r="B312" s="119">
        <v>3</v>
      </c>
      <c r="C312" s="1251"/>
      <c r="D312" s="1262"/>
      <c r="E312" s="1251"/>
      <c r="F312" s="1262"/>
      <c r="G312" s="1251"/>
      <c r="H312" s="1251"/>
      <c r="I312" s="1267"/>
      <c r="J312" s="1251"/>
      <c r="K312" s="1271"/>
      <c r="L312" s="1272"/>
    </row>
    <row r="313" spans="2:12">
      <c r="B313" s="118" t="s">
        <v>1288</v>
      </c>
      <c r="C313" s="1250" t="s">
        <v>1759</v>
      </c>
      <c r="D313" s="1260"/>
      <c r="E313" s="1250">
        <v>44.59</v>
      </c>
      <c r="F313" s="1260"/>
      <c r="G313" s="1250">
        <v>44.59</v>
      </c>
      <c r="H313" s="1250">
        <v>9908</v>
      </c>
      <c r="I313" s="1266" t="s">
        <v>1734</v>
      </c>
      <c r="J313" s="1250">
        <v>5.0000000000000001E-3</v>
      </c>
      <c r="K313" s="1232">
        <v>1E-4</v>
      </c>
      <c r="L313" s="1233"/>
    </row>
    <row r="314" spans="2:12">
      <c r="B314" s="119">
        <v>4</v>
      </c>
      <c r="C314" s="1251"/>
      <c r="D314" s="1262"/>
      <c r="E314" s="1251"/>
      <c r="F314" s="1262"/>
      <c r="G314" s="1251"/>
      <c r="H314" s="1251"/>
      <c r="I314" s="1267"/>
      <c r="J314" s="1251"/>
      <c r="K314" s="1271"/>
      <c r="L314" s="1272"/>
    </row>
    <row r="315" spans="2:12">
      <c r="B315" s="118" t="s">
        <v>1288</v>
      </c>
      <c r="C315" s="1250" t="s">
        <v>1760</v>
      </c>
      <c r="D315" s="1260"/>
      <c r="E315" s="1250">
        <v>51.24</v>
      </c>
      <c r="F315" s="1260"/>
      <c r="G315" s="1250">
        <v>51.24</v>
      </c>
      <c r="H315" s="1250">
        <v>11387</v>
      </c>
      <c r="I315" s="1266" t="s">
        <v>1734</v>
      </c>
      <c r="J315" s="1250">
        <v>5.0000000000000001E-3</v>
      </c>
      <c r="K315" s="1232">
        <v>1E-4</v>
      </c>
      <c r="L315" s="1233"/>
    </row>
    <row r="316" spans="2:12">
      <c r="B316" s="119">
        <v>5</v>
      </c>
      <c r="C316" s="1251"/>
      <c r="D316" s="1262"/>
      <c r="E316" s="1251"/>
      <c r="F316" s="1262"/>
      <c r="G316" s="1251"/>
      <c r="H316" s="1251"/>
      <c r="I316" s="1267"/>
      <c r="J316" s="1251"/>
      <c r="K316" s="1271"/>
      <c r="L316" s="1272"/>
    </row>
    <row r="317" spans="2:12">
      <c r="B317" s="118" t="s">
        <v>1288</v>
      </c>
      <c r="C317" s="1250" t="s">
        <v>1761</v>
      </c>
      <c r="D317" s="1260"/>
      <c r="E317" s="1250">
        <v>51.24</v>
      </c>
      <c r="F317" s="1260"/>
      <c r="G317" s="1250">
        <v>51.24</v>
      </c>
      <c r="H317" s="1250">
        <v>11387</v>
      </c>
      <c r="I317" s="1266" t="s">
        <v>1734</v>
      </c>
      <c r="J317" s="1250">
        <v>5.0000000000000001E-3</v>
      </c>
      <c r="K317" s="1232">
        <v>1E-4</v>
      </c>
      <c r="L317" s="1233"/>
    </row>
    <row r="318" spans="2:12">
      <c r="B318" s="119">
        <v>6</v>
      </c>
      <c r="C318" s="1251"/>
      <c r="D318" s="1262"/>
      <c r="E318" s="1251"/>
      <c r="F318" s="1262"/>
      <c r="G318" s="1251"/>
      <c r="H318" s="1251"/>
      <c r="I318" s="1267"/>
      <c r="J318" s="1251"/>
      <c r="K318" s="1271"/>
      <c r="L318" s="1272"/>
    </row>
    <row r="319" spans="2:12">
      <c r="B319" s="118" t="s">
        <v>1288</v>
      </c>
      <c r="C319" s="1250" t="s">
        <v>1762</v>
      </c>
      <c r="D319" s="1260"/>
      <c r="E319" s="1250">
        <v>51.24</v>
      </c>
      <c r="F319" s="1260"/>
      <c r="G319" s="1250">
        <v>51.24</v>
      </c>
      <c r="H319" s="1250">
        <v>11387</v>
      </c>
      <c r="I319" s="1266" t="s">
        <v>1734</v>
      </c>
      <c r="J319" s="1250">
        <v>5.0000000000000001E-3</v>
      </c>
      <c r="K319" s="1232">
        <v>1E-4</v>
      </c>
      <c r="L319" s="1233"/>
    </row>
    <row r="320" spans="2:12">
      <c r="B320" s="119">
        <v>7</v>
      </c>
      <c r="C320" s="1251"/>
      <c r="D320" s="1262"/>
      <c r="E320" s="1251"/>
      <c r="F320" s="1262"/>
      <c r="G320" s="1251"/>
      <c r="H320" s="1251"/>
      <c r="I320" s="1267"/>
      <c r="J320" s="1251"/>
      <c r="K320" s="1271"/>
      <c r="L320" s="1272"/>
    </row>
    <row r="321" spans="2:12">
      <c r="B321" s="118" t="s">
        <v>1288</v>
      </c>
      <c r="C321" s="1250" t="s">
        <v>1765</v>
      </c>
      <c r="D321" s="1260"/>
      <c r="E321" s="1250">
        <v>1050.3</v>
      </c>
      <c r="F321" s="1260"/>
      <c r="G321" s="1250">
        <v>1050.3</v>
      </c>
      <c r="H321" s="1250">
        <v>87525</v>
      </c>
      <c r="I321" s="1266" t="s">
        <v>1734</v>
      </c>
      <c r="J321" s="1250">
        <v>1.2E-2</v>
      </c>
      <c r="K321" s="1232">
        <v>2E-3</v>
      </c>
      <c r="L321" s="1233"/>
    </row>
    <row r="322" spans="2:12">
      <c r="B322" s="119">
        <v>9</v>
      </c>
      <c r="C322" s="1251"/>
      <c r="D322" s="1262"/>
      <c r="E322" s="1251"/>
      <c r="F322" s="1262"/>
      <c r="G322" s="1251"/>
      <c r="H322" s="1251"/>
      <c r="I322" s="1267"/>
      <c r="J322" s="1251"/>
      <c r="K322" s="1271"/>
      <c r="L322" s="1272"/>
    </row>
    <row r="323" spans="2:12">
      <c r="B323" s="98" t="s">
        <v>1295</v>
      </c>
      <c r="C323" s="99" t="s">
        <v>1769</v>
      </c>
      <c r="D323" s="97"/>
      <c r="E323" s="99">
        <v>660</v>
      </c>
      <c r="F323" s="97"/>
      <c r="G323" s="99">
        <v>660</v>
      </c>
      <c r="H323" s="99">
        <v>55000</v>
      </c>
      <c r="I323" s="100" t="s">
        <v>1734</v>
      </c>
      <c r="J323" s="99">
        <v>1.2E-2</v>
      </c>
      <c r="K323" s="1230">
        <v>1.2999999999999999E-3</v>
      </c>
      <c r="L323" s="1231"/>
    </row>
    <row r="325" spans="2:12">
      <c r="B325" s="81"/>
    </row>
    <row r="326" spans="2:12">
      <c r="B326" s="81"/>
    </row>
    <row r="327" spans="2:12">
      <c r="B327" s="82"/>
      <c r="C327" s="83"/>
      <c r="D327" s="1217" t="s">
        <v>1716</v>
      </c>
      <c r="E327" s="1218"/>
      <c r="F327" s="1218"/>
      <c r="G327" s="1219"/>
      <c r="H327" s="1220" t="s">
        <v>1717</v>
      </c>
      <c r="I327" s="1221"/>
      <c r="J327" s="1222"/>
      <c r="K327" s="83"/>
      <c r="L327" s="83"/>
    </row>
    <row r="328" spans="2:12">
      <c r="B328" s="84" t="s">
        <v>1718</v>
      </c>
      <c r="C328" s="85" t="s">
        <v>1719</v>
      </c>
      <c r="D328" s="1253" t="s">
        <v>1720</v>
      </c>
      <c r="E328" s="87" t="s">
        <v>1721</v>
      </c>
      <c r="F328" s="1248" t="s">
        <v>1722</v>
      </c>
      <c r="G328" s="1258" t="s">
        <v>1723</v>
      </c>
      <c r="H328" s="1223" t="s">
        <v>1724</v>
      </c>
      <c r="I328" s="1224"/>
      <c r="J328" s="106" t="s">
        <v>1725</v>
      </c>
      <c r="K328" s="87" t="s">
        <v>1726</v>
      </c>
      <c r="L328" s="106" t="s">
        <v>1727</v>
      </c>
    </row>
    <row r="329" spans="2:12">
      <c r="B329" s="89"/>
      <c r="C329" s="90"/>
      <c r="D329" s="1255"/>
      <c r="E329" s="92" t="s">
        <v>1728</v>
      </c>
      <c r="F329" s="1249"/>
      <c r="G329" s="1259"/>
      <c r="H329" s="1225" t="s">
        <v>1729</v>
      </c>
      <c r="I329" s="1226"/>
      <c r="J329" s="107" t="s">
        <v>1730</v>
      </c>
      <c r="K329" s="90"/>
      <c r="L329" s="90"/>
    </row>
    <row r="330" spans="2:12">
      <c r="B330" s="119">
        <v>0</v>
      </c>
      <c r="C330" s="97"/>
      <c r="D330" s="97"/>
      <c r="E330" s="97"/>
      <c r="F330" s="97"/>
      <c r="G330" s="97"/>
      <c r="H330" s="97"/>
      <c r="I330" s="97"/>
      <c r="J330" s="97"/>
      <c r="K330" s="1238"/>
      <c r="L330" s="1239"/>
    </row>
    <row r="331" spans="2:12">
      <c r="B331" s="118" t="s">
        <v>1295</v>
      </c>
      <c r="C331" s="1250" t="s">
        <v>1773</v>
      </c>
      <c r="D331" s="1260"/>
      <c r="E331" s="1250">
        <v>4212.05</v>
      </c>
      <c r="F331" s="1260"/>
      <c r="G331" s="1266">
        <v>4212.05</v>
      </c>
      <c r="H331" s="120">
        <v>679362.9</v>
      </c>
      <c r="I331" s="1266" t="s">
        <v>1734</v>
      </c>
      <c r="J331" s="1250">
        <v>6.0000000000000001E-3</v>
      </c>
      <c r="K331" s="1232">
        <v>8.2000000000000007E-3</v>
      </c>
      <c r="L331" s="1233"/>
    </row>
    <row r="332" spans="2:12">
      <c r="B332" s="119">
        <v>1</v>
      </c>
      <c r="C332" s="1251"/>
      <c r="D332" s="1262"/>
      <c r="E332" s="1251"/>
      <c r="F332" s="1262"/>
      <c r="G332" s="1267"/>
      <c r="H332" s="99">
        <v>0</v>
      </c>
      <c r="I332" s="1267"/>
      <c r="J332" s="1251"/>
      <c r="K332" s="1271"/>
      <c r="L332" s="1272"/>
    </row>
    <row r="333" spans="2:12">
      <c r="B333" s="119">
        <v>4.2</v>
      </c>
      <c r="C333" s="99" t="s">
        <v>1774</v>
      </c>
      <c r="D333" s="97"/>
      <c r="E333" s="99">
        <v>22038.98</v>
      </c>
      <c r="F333" s="97"/>
      <c r="G333" s="100">
        <v>22038.98</v>
      </c>
      <c r="H333" s="97"/>
      <c r="I333" s="97"/>
      <c r="J333" s="97"/>
      <c r="K333" s="1230">
        <v>4.2900000000000001E-2</v>
      </c>
      <c r="L333" s="1231"/>
    </row>
    <row r="334" spans="2:12">
      <c r="B334" s="1248">
        <v>5</v>
      </c>
      <c r="C334" s="1248" t="s">
        <v>1775</v>
      </c>
      <c r="D334" s="1253">
        <v>83757.179999999993</v>
      </c>
      <c r="E334" s="1248">
        <v>0</v>
      </c>
      <c r="F334" s="1248">
        <v>100</v>
      </c>
      <c r="G334" s="1253">
        <v>83857.179999999993</v>
      </c>
      <c r="H334" s="1260"/>
      <c r="I334" s="1260"/>
      <c r="J334" s="1260"/>
      <c r="K334" s="1234">
        <v>16.34</v>
      </c>
      <c r="L334" s="1235"/>
    </row>
    <row r="335" spans="2:12">
      <c r="B335" s="1249"/>
      <c r="C335" s="1249"/>
      <c r="D335" s="1255"/>
      <c r="E335" s="1249"/>
      <c r="F335" s="1249"/>
      <c r="G335" s="1255"/>
      <c r="H335" s="1262"/>
      <c r="I335" s="1262"/>
      <c r="J335" s="1262"/>
      <c r="K335" s="1236" t="s">
        <v>1764</v>
      </c>
      <c r="L335" s="1237"/>
    </row>
    <row r="336" spans="2:12">
      <c r="B336" s="119">
        <v>5.0999999999999996</v>
      </c>
      <c r="C336" s="99" t="s">
        <v>1776</v>
      </c>
      <c r="D336" s="100">
        <v>8800</v>
      </c>
      <c r="E336" s="99">
        <v>0</v>
      </c>
      <c r="F336" s="99">
        <v>0</v>
      </c>
      <c r="G336" s="100">
        <v>8800</v>
      </c>
      <c r="H336" s="99">
        <v>11000</v>
      </c>
      <c r="I336" s="100" t="s">
        <v>1734</v>
      </c>
      <c r="J336" s="99">
        <v>0.8</v>
      </c>
      <c r="K336" s="1230">
        <v>1.7100000000000001E-2</v>
      </c>
      <c r="L336" s="1231"/>
    </row>
    <row r="337" spans="2:12">
      <c r="B337" s="119" t="s">
        <v>1073</v>
      </c>
      <c r="C337" s="99" t="s">
        <v>1777</v>
      </c>
      <c r="D337" s="100">
        <v>1650</v>
      </c>
      <c r="E337" s="97"/>
      <c r="F337" s="97"/>
      <c r="G337" s="100">
        <v>1650</v>
      </c>
      <c r="H337" s="99">
        <v>11000</v>
      </c>
      <c r="I337" s="100" t="s">
        <v>1734</v>
      </c>
      <c r="J337" s="99">
        <v>0.15</v>
      </c>
      <c r="K337" s="1230">
        <v>3.2000000000000002E-3</v>
      </c>
      <c r="L337" s="1231"/>
    </row>
    <row r="338" spans="2:12">
      <c r="B338" s="119" t="s">
        <v>1075</v>
      </c>
      <c r="C338" s="99" t="s">
        <v>1778</v>
      </c>
      <c r="D338" s="100">
        <v>6600</v>
      </c>
      <c r="E338" s="97"/>
      <c r="F338" s="97"/>
      <c r="G338" s="100">
        <v>6600</v>
      </c>
      <c r="H338" s="99">
        <v>11000</v>
      </c>
      <c r="I338" s="100" t="s">
        <v>1734</v>
      </c>
      <c r="J338" s="99">
        <v>0.6</v>
      </c>
      <c r="K338" s="1230">
        <v>1.29E-2</v>
      </c>
      <c r="L338" s="1231"/>
    </row>
    <row r="339" spans="2:12">
      <c r="B339" s="119" t="s">
        <v>1075</v>
      </c>
      <c r="C339" s="99" t="s">
        <v>1779</v>
      </c>
      <c r="D339" s="97">
        <v>550</v>
      </c>
      <c r="E339" s="97"/>
      <c r="F339" s="97"/>
      <c r="G339" s="97">
        <v>550</v>
      </c>
      <c r="H339" s="99">
        <v>11000</v>
      </c>
      <c r="I339" s="100" t="s">
        <v>1734</v>
      </c>
      <c r="J339" s="99">
        <v>0.05</v>
      </c>
      <c r="K339" s="1230">
        <v>1.1000000000000001E-3</v>
      </c>
      <c r="L339" s="1231"/>
    </row>
    <row r="340" spans="2:12">
      <c r="B340" s="119">
        <v>5.2</v>
      </c>
      <c r="C340" s="99" t="s">
        <v>1780</v>
      </c>
      <c r="D340" s="100">
        <v>8800</v>
      </c>
      <c r="E340" s="99">
        <v>0</v>
      </c>
      <c r="F340" s="99">
        <v>0</v>
      </c>
      <c r="G340" s="100">
        <v>8800</v>
      </c>
      <c r="H340" s="99">
        <v>11000</v>
      </c>
      <c r="I340" s="100" t="s">
        <v>1734</v>
      </c>
      <c r="J340" s="99">
        <v>0.8</v>
      </c>
      <c r="K340" s="1230">
        <v>1.7100000000000001E-2</v>
      </c>
      <c r="L340" s="1231"/>
    </row>
    <row r="341" spans="2:12">
      <c r="B341" s="119" t="s">
        <v>1079</v>
      </c>
      <c r="C341" s="99" t="s">
        <v>1777</v>
      </c>
      <c r="D341" s="100">
        <v>1650</v>
      </c>
      <c r="E341" s="97"/>
      <c r="F341" s="97"/>
      <c r="G341" s="100">
        <v>1650</v>
      </c>
      <c r="H341" s="99">
        <v>11000</v>
      </c>
      <c r="I341" s="100" t="s">
        <v>1734</v>
      </c>
      <c r="J341" s="99">
        <v>0.15</v>
      </c>
      <c r="K341" s="1230">
        <v>3.2000000000000002E-3</v>
      </c>
      <c r="L341" s="1231"/>
    </row>
    <row r="342" spans="2:12">
      <c r="B342" s="119" t="s">
        <v>1080</v>
      </c>
      <c r="C342" s="99" t="s">
        <v>1778</v>
      </c>
      <c r="D342" s="100">
        <v>6600</v>
      </c>
      <c r="E342" s="97"/>
      <c r="F342" s="97"/>
      <c r="G342" s="100">
        <v>6600</v>
      </c>
      <c r="H342" s="99">
        <v>11000</v>
      </c>
      <c r="I342" s="100" t="s">
        <v>1734</v>
      </c>
      <c r="J342" s="99">
        <v>0.6</v>
      </c>
      <c r="K342" s="1230">
        <v>1.29E-2</v>
      </c>
      <c r="L342" s="1231"/>
    </row>
    <row r="343" spans="2:12">
      <c r="B343" s="119" t="s">
        <v>1081</v>
      </c>
      <c r="C343" s="99" t="s">
        <v>1779</v>
      </c>
      <c r="D343" s="97">
        <v>550</v>
      </c>
      <c r="E343" s="97"/>
      <c r="F343" s="97"/>
      <c r="G343" s="97">
        <v>550</v>
      </c>
      <c r="H343" s="99">
        <v>11000</v>
      </c>
      <c r="I343" s="100" t="s">
        <v>1734</v>
      </c>
      <c r="J343" s="99">
        <v>0.05</v>
      </c>
      <c r="K343" s="1230">
        <v>1.1000000000000001E-3</v>
      </c>
      <c r="L343" s="1231"/>
    </row>
    <row r="344" spans="2:12">
      <c r="B344" s="119">
        <v>5.3</v>
      </c>
      <c r="C344" s="99" t="s">
        <v>1781</v>
      </c>
      <c r="D344" s="100">
        <v>4000</v>
      </c>
      <c r="E344" s="99">
        <v>0</v>
      </c>
      <c r="F344" s="99">
        <v>0</v>
      </c>
      <c r="G344" s="100">
        <v>4000</v>
      </c>
      <c r="H344" s="99">
        <v>5000</v>
      </c>
      <c r="I344" s="100" t="s">
        <v>1734</v>
      </c>
      <c r="J344" s="99">
        <v>0.8</v>
      </c>
      <c r="K344" s="1230">
        <v>7.7999999999999996E-3</v>
      </c>
      <c r="L344" s="1231"/>
    </row>
    <row r="345" spans="2:12">
      <c r="B345" s="119" t="s">
        <v>1083</v>
      </c>
      <c r="C345" s="99" t="s">
        <v>1777</v>
      </c>
      <c r="D345" s="97">
        <v>750</v>
      </c>
      <c r="E345" s="97"/>
      <c r="F345" s="97"/>
      <c r="G345" s="97">
        <v>750</v>
      </c>
      <c r="H345" s="99">
        <v>5000</v>
      </c>
      <c r="I345" s="100" t="s">
        <v>1734</v>
      </c>
      <c r="J345" s="99">
        <v>0.15</v>
      </c>
      <c r="K345" s="1230">
        <v>1.5E-3</v>
      </c>
      <c r="L345" s="1231"/>
    </row>
    <row r="346" spans="2:12">
      <c r="B346" s="119" t="s">
        <v>1084</v>
      </c>
      <c r="C346" s="99" t="s">
        <v>1778</v>
      </c>
      <c r="D346" s="100">
        <v>3000</v>
      </c>
      <c r="E346" s="97"/>
      <c r="F346" s="97"/>
      <c r="G346" s="100">
        <v>3000</v>
      </c>
      <c r="H346" s="99">
        <v>5000</v>
      </c>
      <c r="I346" s="100" t="s">
        <v>1734</v>
      </c>
      <c r="J346" s="99">
        <v>0.6</v>
      </c>
      <c r="K346" s="1230">
        <v>5.7999999999999996E-3</v>
      </c>
      <c r="L346" s="1231"/>
    </row>
    <row r="347" spans="2:12">
      <c r="B347" s="119" t="s">
        <v>1085</v>
      </c>
      <c r="C347" s="99" t="s">
        <v>1779</v>
      </c>
      <c r="D347" s="97">
        <v>250</v>
      </c>
      <c r="E347" s="97"/>
      <c r="F347" s="97"/>
      <c r="G347" s="97">
        <v>250</v>
      </c>
      <c r="H347" s="99">
        <v>5000</v>
      </c>
      <c r="I347" s="100" t="s">
        <v>1734</v>
      </c>
      <c r="J347" s="99">
        <v>0.05</v>
      </c>
      <c r="K347" s="1230">
        <v>5.0000000000000001E-4</v>
      </c>
      <c r="L347" s="1231"/>
    </row>
    <row r="348" spans="2:12">
      <c r="B348" s="119">
        <v>5.4</v>
      </c>
      <c r="C348" s="99" t="s">
        <v>1782</v>
      </c>
      <c r="D348" s="100">
        <v>3200</v>
      </c>
      <c r="E348" s="99">
        <v>0</v>
      </c>
      <c r="F348" s="99">
        <v>0</v>
      </c>
      <c r="G348" s="100">
        <v>3200</v>
      </c>
      <c r="H348" s="99">
        <v>4000</v>
      </c>
      <c r="I348" s="100" t="s">
        <v>1734</v>
      </c>
      <c r="J348" s="99">
        <v>0.8</v>
      </c>
      <c r="K348" s="1230">
        <v>6.1999999999999998E-3</v>
      </c>
      <c r="L348" s="1231"/>
    </row>
    <row r="349" spans="2:12">
      <c r="B349" s="119" t="s">
        <v>1087</v>
      </c>
      <c r="C349" s="99" t="s">
        <v>1777</v>
      </c>
      <c r="D349" s="97">
        <v>600</v>
      </c>
      <c r="E349" s="97"/>
      <c r="F349" s="97"/>
      <c r="G349" s="97">
        <v>600</v>
      </c>
      <c r="H349" s="99">
        <v>4000</v>
      </c>
      <c r="I349" s="100" t="s">
        <v>1734</v>
      </c>
      <c r="J349" s="99">
        <v>0.15</v>
      </c>
      <c r="K349" s="1230">
        <v>1.1999999999999999E-3</v>
      </c>
      <c r="L349" s="1231"/>
    </row>
    <row r="351" spans="2:12">
      <c r="B351" s="81"/>
    </row>
    <row r="352" spans="2:12">
      <c r="B352" s="81"/>
    </row>
    <row r="353" spans="2:12">
      <c r="B353" s="82"/>
      <c r="C353" s="83"/>
      <c r="D353" s="1217" t="s">
        <v>1716</v>
      </c>
      <c r="E353" s="1218"/>
      <c r="F353" s="1218"/>
      <c r="G353" s="1219"/>
      <c r="H353" s="1220" t="s">
        <v>1717</v>
      </c>
      <c r="I353" s="1221"/>
      <c r="J353" s="1222"/>
      <c r="K353" s="83"/>
      <c r="L353" s="83"/>
    </row>
    <row r="354" spans="2:12">
      <c r="B354" s="84" t="s">
        <v>1718</v>
      </c>
      <c r="C354" s="85" t="s">
        <v>1719</v>
      </c>
      <c r="D354" s="1253" t="s">
        <v>1720</v>
      </c>
      <c r="E354" s="87" t="s">
        <v>1721</v>
      </c>
      <c r="F354" s="1248" t="s">
        <v>1722</v>
      </c>
      <c r="G354" s="1258" t="s">
        <v>1723</v>
      </c>
      <c r="H354" s="1223" t="s">
        <v>1724</v>
      </c>
      <c r="I354" s="1224"/>
      <c r="J354" s="106" t="s">
        <v>1725</v>
      </c>
      <c r="K354" s="87" t="s">
        <v>1726</v>
      </c>
      <c r="L354" s="106" t="s">
        <v>1727</v>
      </c>
    </row>
    <row r="355" spans="2:12">
      <c r="B355" s="89"/>
      <c r="C355" s="90"/>
      <c r="D355" s="1255"/>
      <c r="E355" s="92" t="s">
        <v>1728</v>
      </c>
      <c r="F355" s="1249"/>
      <c r="G355" s="1259"/>
      <c r="H355" s="1225" t="s">
        <v>1729</v>
      </c>
      <c r="I355" s="1226"/>
      <c r="J355" s="107" t="s">
        <v>1730</v>
      </c>
      <c r="K355" s="90"/>
      <c r="L355" s="90"/>
    </row>
    <row r="356" spans="2:12">
      <c r="B356" s="119" t="s">
        <v>1088</v>
      </c>
      <c r="C356" s="99" t="s">
        <v>1778</v>
      </c>
      <c r="D356" s="100">
        <v>2400</v>
      </c>
      <c r="E356" s="97"/>
      <c r="F356" s="97"/>
      <c r="G356" s="100">
        <v>2400</v>
      </c>
      <c r="H356" s="99">
        <v>4000</v>
      </c>
      <c r="I356" s="100" t="s">
        <v>1734</v>
      </c>
      <c r="J356" s="99">
        <v>0.6</v>
      </c>
      <c r="K356" s="1230">
        <v>4.7000000000000002E-3</v>
      </c>
      <c r="L356" s="1231"/>
    </row>
    <row r="357" spans="2:12">
      <c r="B357" s="119" t="s">
        <v>1089</v>
      </c>
      <c r="C357" s="99" t="s">
        <v>1779</v>
      </c>
      <c r="D357" s="97">
        <v>200</v>
      </c>
      <c r="E357" s="97"/>
      <c r="F357" s="97"/>
      <c r="G357" s="97">
        <v>200</v>
      </c>
      <c r="H357" s="99">
        <v>4000</v>
      </c>
      <c r="I357" s="100" t="s">
        <v>1734</v>
      </c>
      <c r="J357" s="99">
        <v>0.05</v>
      </c>
      <c r="K357" s="1230">
        <v>4.0000000000000002E-4</v>
      </c>
      <c r="L357" s="1231"/>
    </row>
    <row r="358" spans="2:12">
      <c r="B358" s="119">
        <v>5.5</v>
      </c>
      <c r="C358" s="99" t="s">
        <v>1783</v>
      </c>
      <c r="D358" s="97">
        <v>750</v>
      </c>
      <c r="E358" s="99">
        <v>0</v>
      </c>
      <c r="F358" s="99">
        <v>0</v>
      </c>
      <c r="G358" s="97">
        <v>750</v>
      </c>
      <c r="H358" s="99">
        <v>1500</v>
      </c>
      <c r="I358" s="100" t="s">
        <v>1734</v>
      </c>
      <c r="J358" s="99">
        <v>0.5</v>
      </c>
      <c r="K358" s="1230">
        <v>1.5E-3</v>
      </c>
      <c r="L358" s="1231"/>
    </row>
    <row r="359" spans="2:12">
      <c r="B359" s="119" t="s">
        <v>1091</v>
      </c>
      <c r="C359" s="99" t="s">
        <v>1777</v>
      </c>
      <c r="D359" s="97">
        <v>225</v>
      </c>
      <c r="E359" s="97"/>
      <c r="F359" s="97"/>
      <c r="G359" s="97">
        <v>225</v>
      </c>
      <c r="H359" s="99">
        <v>1500</v>
      </c>
      <c r="I359" s="100" t="s">
        <v>1734</v>
      </c>
      <c r="J359" s="99">
        <v>0.15</v>
      </c>
      <c r="K359" s="1230">
        <v>4.0000000000000002E-4</v>
      </c>
      <c r="L359" s="1231"/>
    </row>
    <row r="360" spans="2:12">
      <c r="B360" s="119" t="s">
        <v>1092</v>
      </c>
      <c r="C360" s="99" t="s">
        <v>1778</v>
      </c>
      <c r="D360" s="97">
        <v>450</v>
      </c>
      <c r="E360" s="97"/>
      <c r="F360" s="97"/>
      <c r="G360" s="97">
        <v>450</v>
      </c>
      <c r="H360" s="99">
        <v>1500</v>
      </c>
      <c r="I360" s="100" t="s">
        <v>1734</v>
      </c>
      <c r="J360" s="99">
        <v>0.3</v>
      </c>
      <c r="K360" s="1230">
        <v>8.9999999999999998E-4</v>
      </c>
      <c r="L360" s="1231"/>
    </row>
    <row r="361" spans="2:12">
      <c r="B361" s="119" t="s">
        <v>1093</v>
      </c>
      <c r="C361" s="99" t="s">
        <v>1779</v>
      </c>
      <c r="D361" s="102">
        <v>75</v>
      </c>
      <c r="E361" s="97"/>
      <c r="F361" s="97"/>
      <c r="G361" s="102">
        <v>75</v>
      </c>
      <c r="H361" s="99">
        <v>1500</v>
      </c>
      <c r="I361" s="100" t="s">
        <v>1734</v>
      </c>
      <c r="J361" s="99">
        <v>0.05</v>
      </c>
      <c r="K361" s="1230">
        <v>1E-4</v>
      </c>
      <c r="L361" s="1231"/>
    </row>
    <row r="362" spans="2:12">
      <c r="B362" s="1250">
        <v>5.6</v>
      </c>
      <c r="C362" s="1250" t="s">
        <v>1784</v>
      </c>
      <c r="D362" s="1266">
        <v>58207.18</v>
      </c>
      <c r="E362" s="1250">
        <v>0</v>
      </c>
      <c r="F362" s="1250">
        <v>0</v>
      </c>
      <c r="G362" s="1266">
        <v>58207.18</v>
      </c>
      <c r="H362" s="120">
        <v>590935.80000000005</v>
      </c>
      <c r="I362" s="1266" t="s">
        <v>1734</v>
      </c>
      <c r="J362" s="1250">
        <v>0.1</v>
      </c>
      <c r="K362" s="1234">
        <v>11.34</v>
      </c>
      <c r="L362" s="1235"/>
    </row>
    <row r="363" spans="2:12">
      <c r="B363" s="1251"/>
      <c r="C363" s="1251"/>
      <c r="D363" s="1267"/>
      <c r="E363" s="1251"/>
      <c r="F363" s="1251"/>
      <c r="G363" s="1267"/>
      <c r="H363" s="99">
        <v>1</v>
      </c>
      <c r="I363" s="1267"/>
      <c r="J363" s="1251"/>
      <c r="K363" s="1236" t="s">
        <v>1764</v>
      </c>
      <c r="L363" s="1237"/>
    </row>
    <row r="364" spans="2:12">
      <c r="B364" s="1250" t="s">
        <v>1095</v>
      </c>
      <c r="C364" s="1250" t="s">
        <v>1785</v>
      </c>
      <c r="D364" s="1266">
        <v>58207.18</v>
      </c>
      <c r="E364" s="1260"/>
      <c r="F364" s="1260"/>
      <c r="G364" s="1266">
        <v>58207.18</v>
      </c>
      <c r="H364" s="120">
        <v>590935.80000000005</v>
      </c>
      <c r="I364" s="1260"/>
      <c r="J364" s="1260"/>
      <c r="K364" s="1273"/>
      <c r="L364" s="1274"/>
    </row>
    <row r="365" spans="2:12">
      <c r="B365" s="1251"/>
      <c r="C365" s="1251"/>
      <c r="D365" s="1267"/>
      <c r="E365" s="1262"/>
      <c r="F365" s="1262"/>
      <c r="G365" s="1267"/>
      <c r="H365" s="99">
        <v>1</v>
      </c>
      <c r="I365" s="1262"/>
      <c r="J365" s="1262"/>
      <c r="K365" s="1275"/>
      <c r="L365" s="1276"/>
    </row>
    <row r="366" spans="2:12">
      <c r="B366" s="1250" t="s">
        <v>1097</v>
      </c>
      <c r="C366" s="1250" t="s">
        <v>1786</v>
      </c>
      <c r="D366" s="1266">
        <v>16546.2</v>
      </c>
      <c r="E366" s="1260"/>
      <c r="F366" s="1260"/>
      <c r="G366" s="1266">
        <v>16546.2</v>
      </c>
      <c r="H366" s="120">
        <v>118187.1</v>
      </c>
      <c r="I366" s="1266" t="s">
        <v>1734</v>
      </c>
      <c r="J366" s="1260"/>
      <c r="K366" s="1232">
        <v>3.2199999999999999E-2</v>
      </c>
      <c r="L366" s="1233"/>
    </row>
    <row r="367" spans="2:12">
      <c r="B367" s="1251"/>
      <c r="C367" s="1251"/>
      <c r="D367" s="1267"/>
      <c r="E367" s="1262"/>
      <c r="F367" s="1262"/>
      <c r="G367" s="1267"/>
      <c r="H367" s="99">
        <v>62</v>
      </c>
      <c r="I367" s="1267"/>
      <c r="J367" s="1262"/>
      <c r="K367" s="1271"/>
      <c r="L367" s="1272"/>
    </row>
    <row r="368" spans="2:12">
      <c r="B368" s="118" t="s">
        <v>1787</v>
      </c>
      <c r="C368" s="1250" t="s">
        <v>1735</v>
      </c>
      <c r="D368" s="1266">
        <v>2363.7399999999998</v>
      </c>
      <c r="E368" s="1260"/>
      <c r="F368" s="1260"/>
      <c r="G368" s="1266">
        <v>2363.7399999999998</v>
      </c>
      <c r="H368" s="120">
        <v>118187.1</v>
      </c>
      <c r="I368" s="1266" t="s">
        <v>1734</v>
      </c>
      <c r="J368" s="1250">
        <v>0.02</v>
      </c>
      <c r="K368" s="1232">
        <v>4.5999999999999999E-3</v>
      </c>
      <c r="L368" s="1233"/>
    </row>
    <row r="369" spans="2:12">
      <c r="B369" s="119">
        <v>0.1</v>
      </c>
      <c r="C369" s="1251"/>
      <c r="D369" s="1267"/>
      <c r="E369" s="1262"/>
      <c r="F369" s="1262"/>
      <c r="G369" s="1267"/>
      <c r="H369" s="99">
        <v>62</v>
      </c>
      <c r="I369" s="1267"/>
      <c r="J369" s="1251"/>
      <c r="K369" s="1271"/>
      <c r="L369" s="1272"/>
    </row>
    <row r="370" spans="2:12">
      <c r="B370" s="118" t="s">
        <v>1787</v>
      </c>
      <c r="C370" s="1250" t="s">
        <v>1786</v>
      </c>
      <c r="D370" s="1266">
        <v>14182.46</v>
      </c>
      <c r="E370" s="1260"/>
      <c r="F370" s="1260"/>
      <c r="G370" s="1266">
        <v>14182.46</v>
      </c>
      <c r="H370" s="120">
        <v>118187.1</v>
      </c>
      <c r="I370" s="1266" t="s">
        <v>1734</v>
      </c>
      <c r="J370" s="1250">
        <v>0.12</v>
      </c>
      <c r="K370" s="1232">
        <v>2.76E-2</v>
      </c>
      <c r="L370" s="1233"/>
    </row>
    <row r="371" spans="2:12">
      <c r="B371" s="119">
        <v>0.2</v>
      </c>
      <c r="C371" s="1251"/>
      <c r="D371" s="1267"/>
      <c r="E371" s="1262"/>
      <c r="F371" s="1262"/>
      <c r="G371" s="1267"/>
      <c r="H371" s="99">
        <v>62</v>
      </c>
      <c r="I371" s="1267"/>
      <c r="J371" s="1251"/>
      <c r="K371" s="1271"/>
      <c r="L371" s="1272"/>
    </row>
    <row r="372" spans="2:12">
      <c r="B372" s="1250" t="s">
        <v>1366</v>
      </c>
      <c r="C372" s="1250" t="s">
        <v>1788</v>
      </c>
      <c r="D372" s="1266">
        <v>30137.73</v>
      </c>
      <c r="E372" s="1260"/>
      <c r="F372" s="1260"/>
      <c r="G372" s="1266">
        <v>30137.73</v>
      </c>
      <c r="H372" s="120">
        <v>177280.7</v>
      </c>
      <c r="I372" s="1266" t="s">
        <v>1734</v>
      </c>
      <c r="J372" s="1260"/>
      <c r="K372" s="1232">
        <v>5.8700000000000002E-2</v>
      </c>
      <c r="L372" s="1233"/>
    </row>
    <row r="373" spans="2:12">
      <c r="B373" s="1251"/>
      <c r="C373" s="1251"/>
      <c r="D373" s="1267"/>
      <c r="E373" s="1262"/>
      <c r="F373" s="1262"/>
      <c r="G373" s="1267"/>
      <c r="H373" s="99">
        <v>43</v>
      </c>
      <c r="I373" s="1267"/>
      <c r="J373" s="1262"/>
      <c r="K373" s="1271"/>
      <c r="L373" s="1272"/>
    </row>
    <row r="374" spans="2:12">
      <c r="B374" s="118" t="s">
        <v>1366</v>
      </c>
      <c r="C374" s="1250" t="s">
        <v>1735</v>
      </c>
      <c r="D374" s="1266">
        <v>3545.61</v>
      </c>
      <c r="E374" s="1260"/>
      <c r="F374" s="1260"/>
      <c r="G374" s="1266">
        <v>3545.61</v>
      </c>
      <c r="H374" s="120">
        <v>177280.7</v>
      </c>
      <c r="I374" s="1266" t="s">
        <v>1734</v>
      </c>
      <c r="J374" s="1250">
        <v>0.02</v>
      </c>
      <c r="K374" s="1232">
        <v>6.8999999999999999E-3</v>
      </c>
      <c r="L374" s="1233"/>
    </row>
    <row r="375" spans="2:12">
      <c r="B375" s="119">
        <v>0.1</v>
      </c>
      <c r="C375" s="1251"/>
      <c r="D375" s="1267"/>
      <c r="E375" s="1262"/>
      <c r="F375" s="1262"/>
      <c r="G375" s="1267"/>
      <c r="H375" s="99">
        <v>43</v>
      </c>
      <c r="I375" s="1267"/>
      <c r="J375" s="1251"/>
      <c r="K375" s="1271"/>
      <c r="L375" s="1272"/>
    </row>
    <row r="376" spans="2:12">
      <c r="B376" s="118" t="s">
        <v>1366</v>
      </c>
      <c r="C376" s="1250" t="s">
        <v>1788</v>
      </c>
      <c r="D376" s="1266">
        <v>26592.11</v>
      </c>
      <c r="E376" s="1260"/>
      <c r="F376" s="1260"/>
      <c r="G376" s="1266">
        <v>26592.11</v>
      </c>
      <c r="H376" s="120">
        <v>177280.7</v>
      </c>
      <c r="I376" s="1266" t="s">
        <v>1734</v>
      </c>
      <c r="J376" s="1250">
        <v>0.15</v>
      </c>
      <c r="K376" s="1232">
        <v>5.1799999999999999E-2</v>
      </c>
      <c r="L376" s="1233"/>
    </row>
    <row r="377" spans="2:12">
      <c r="B377" s="119">
        <v>0.2</v>
      </c>
      <c r="C377" s="1251"/>
      <c r="D377" s="1267"/>
      <c r="E377" s="1262"/>
      <c r="F377" s="1262"/>
      <c r="G377" s="1267"/>
      <c r="H377" s="99">
        <v>43</v>
      </c>
      <c r="I377" s="1267"/>
      <c r="J377" s="1251"/>
      <c r="K377" s="1271"/>
      <c r="L377" s="1272"/>
    </row>
    <row r="379" spans="2:12">
      <c r="B379" s="81"/>
    </row>
    <row r="380" spans="2:12">
      <c r="B380" s="81"/>
    </row>
    <row r="381" spans="2:12">
      <c r="B381" s="82"/>
      <c r="C381" s="83"/>
      <c r="D381" s="1217" t="s">
        <v>1716</v>
      </c>
      <c r="E381" s="1218"/>
      <c r="F381" s="1218"/>
      <c r="G381" s="1219"/>
      <c r="H381" s="1220" t="s">
        <v>1717</v>
      </c>
      <c r="I381" s="1221"/>
      <c r="J381" s="1222"/>
      <c r="K381" s="83"/>
      <c r="L381" s="83"/>
    </row>
    <row r="382" spans="2:12">
      <c r="B382" s="84" t="s">
        <v>1718</v>
      </c>
      <c r="C382" s="85" t="s">
        <v>1719</v>
      </c>
      <c r="D382" s="1248" t="s">
        <v>1720</v>
      </c>
      <c r="E382" s="87" t="s">
        <v>1721</v>
      </c>
      <c r="F382" s="1248" t="s">
        <v>1722</v>
      </c>
      <c r="G382" s="1258" t="s">
        <v>1723</v>
      </c>
      <c r="H382" s="1223" t="s">
        <v>1724</v>
      </c>
      <c r="I382" s="1224"/>
      <c r="J382" s="106" t="s">
        <v>1725</v>
      </c>
      <c r="K382" s="87" t="s">
        <v>1726</v>
      </c>
      <c r="L382" s="106" t="s">
        <v>1727</v>
      </c>
    </row>
    <row r="383" spans="2:12">
      <c r="B383" s="89"/>
      <c r="C383" s="90"/>
      <c r="D383" s="1249"/>
      <c r="E383" s="92" t="s">
        <v>1728</v>
      </c>
      <c r="F383" s="1249"/>
      <c r="G383" s="1259"/>
      <c r="H383" s="1225" t="s">
        <v>1729</v>
      </c>
      <c r="I383" s="1226"/>
      <c r="J383" s="107" t="s">
        <v>1730</v>
      </c>
      <c r="K383" s="90"/>
      <c r="L383" s="90"/>
    </row>
    <row r="384" spans="2:12">
      <c r="B384" s="1250" t="s">
        <v>1789</v>
      </c>
      <c r="C384" s="1250" t="s">
        <v>1790</v>
      </c>
      <c r="D384" s="1250">
        <v>6204.83</v>
      </c>
      <c r="E384" s="1260"/>
      <c r="F384" s="1260"/>
      <c r="G384" s="1266">
        <v>6204.83</v>
      </c>
      <c r="H384" s="120">
        <v>206827.5</v>
      </c>
      <c r="I384" s="1266" t="s">
        <v>1734</v>
      </c>
      <c r="J384" s="1250">
        <v>0.03</v>
      </c>
      <c r="K384" s="1232">
        <v>1.21E-2</v>
      </c>
      <c r="L384" s="1233"/>
    </row>
    <row r="385" spans="2:12">
      <c r="B385" s="1251"/>
      <c r="C385" s="1251"/>
      <c r="D385" s="1251"/>
      <c r="E385" s="1262"/>
      <c r="F385" s="1262"/>
      <c r="G385" s="1267"/>
      <c r="H385" s="99">
        <v>3</v>
      </c>
      <c r="I385" s="1267"/>
      <c r="J385" s="1251"/>
      <c r="K385" s="1271"/>
      <c r="L385" s="1272"/>
    </row>
    <row r="386" spans="2:12">
      <c r="B386" s="1250" t="s">
        <v>1791</v>
      </c>
      <c r="C386" s="1256" t="s">
        <v>1792</v>
      </c>
      <c r="D386" s="1250">
        <v>2363.7399999999998</v>
      </c>
      <c r="E386" s="1260"/>
      <c r="F386" s="1260"/>
      <c r="G386" s="1266">
        <v>2363.7399999999998</v>
      </c>
      <c r="H386" s="120">
        <v>590935.80000000005</v>
      </c>
      <c r="I386" s="1266" t="s">
        <v>1734</v>
      </c>
      <c r="J386" s="1250">
        <v>4.0000000000000001E-3</v>
      </c>
      <c r="K386" s="1232">
        <v>4.5999999999999999E-3</v>
      </c>
      <c r="L386" s="1233"/>
    </row>
    <row r="387" spans="2:12">
      <c r="B387" s="1251"/>
      <c r="C387" s="1257"/>
      <c r="D387" s="1251"/>
      <c r="E387" s="1262"/>
      <c r="F387" s="1262"/>
      <c r="G387" s="1267"/>
      <c r="H387" s="99">
        <v>1</v>
      </c>
      <c r="I387" s="1267"/>
      <c r="J387" s="1251"/>
      <c r="K387" s="1271"/>
      <c r="L387" s="1272"/>
    </row>
    <row r="388" spans="2:12">
      <c r="B388" s="1250" t="s">
        <v>1793</v>
      </c>
      <c r="C388" s="1256" t="s">
        <v>1794</v>
      </c>
      <c r="D388" s="1250">
        <v>2954.68</v>
      </c>
      <c r="E388" s="1260"/>
      <c r="F388" s="1260"/>
      <c r="G388" s="1266">
        <v>2954.68</v>
      </c>
      <c r="H388" s="120">
        <v>590935.80000000005</v>
      </c>
      <c r="I388" s="1266" t="s">
        <v>1734</v>
      </c>
      <c r="J388" s="1250">
        <v>5.0000000000000001E-3</v>
      </c>
      <c r="K388" s="1232">
        <v>5.7999999999999996E-3</v>
      </c>
      <c r="L388" s="1233"/>
    </row>
    <row r="389" spans="2:12">
      <c r="B389" s="1251"/>
      <c r="C389" s="1257"/>
      <c r="D389" s="1251"/>
      <c r="E389" s="1262"/>
      <c r="F389" s="1262"/>
      <c r="G389" s="1267"/>
      <c r="H389" s="99">
        <v>1</v>
      </c>
      <c r="I389" s="1267"/>
      <c r="J389" s="1251"/>
      <c r="K389" s="1271"/>
      <c r="L389" s="1272"/>
    </row>
    <row r="390" spans="2:12">
      <c r="B390" s="119">
        <v>5.7</v>
      </c>
      <c r="C390" s="121" t="s">
        <v>1795</v>
      </c>
      <c r="D390" s="97"/>
      <c r="E390" s="97"/>
      <c r="F390" s="99">
        <v>50</v>
      </c>
      <c r="G390" s="102">
        <v>50</v>
      </c>
      <c r="H390" s="97"/>
      <c r="I390" s="97"/>
      <c r="J390" s="97"/>
      <c r="K390" s="1230">
        <v>1E-4</v>
      </c>
      <c r="L390" s="1231"/>
    </row>
    <row r="391" spans="2:12">
      <c r="B391" s="119">
        <v>5.8</v>
      </c>
      <c r="C391" s="121" t="s">
        <v>1796</v>
      </c>
      <c r="D391" s="97"/>
      <c r="E391" s="97"/>
      <c r="F391" s="99">
        <v>50</v>
      </c>
      <c r="G391" s="102">
        <v>50</v>
      </c>
      <c r="H391" s="97"/>
      <c r="I391" s="97"/>
      <c r="J391" s="97"/>
      <c r="K391" s="1230">
        <v>1E-4</v>
      </c>
      <c r="L391" s="1231"/>
    </row>
    <row r="392" spans="2:12">
      <c r="B392" s="119">
        <v>6</v>
      </c>
      <c r="C392" s="99" t="s">
        <v>1797</v>
      </c>
      <c r="D392" s="97"/>
      <c r="E392" s="97"/>
      <c r="F392" s="99">
        <v>678</v>
      </c>
      <c r="G392" s="97">
        <v>678</v>
      </c>
      <c r="H392" s="97"/>
      <c r="I392" s="97"/>
      <c r="J392" s="97"/>
      <c r="K392" s="1230">
        <v>1.2999999999999999E-3</v>
      </c>
      <c r="L392" s="1231"/>
    </row>
    <row r="393" spans="2:12">
      <c r="B393" s="119">
        <v>7</v>
      </c>
      <c r="C393" s="99" t="s">
        <v>1798</v>
      </c>
      <c r="D393" s="97"/>
      <c r="E393" s="97"/>
      <c r="F393" s="99">
        <v>678</v>
      </c>
      <c r="G393" s="97">
        <v>678</v>
      </c>
      <c r="H393" s="97"/>
      <c r="I393" s="97"/>
      <c r="J393" s="97"/>
      <c r="K393" s="1230">
        <v>1.2999999999999999E-3</v>
      </c>
      <c r="L393" s="1231"/>
    </row>
    <row r="394" spans="2:12">
      <c r="B394" s="1248" t="s">
        <v>1799</v>
      </c>
      <c r="C394" s="1258" t="s">
        <v>1800</v>
      </c>
      <c r="D394" s="1260"/>
      <c r="E394" s="1260"/>
      <c r="F394" s="1248">
        <v>88080.8</v>
      </c>
      <c r="G394" s="1253">
        <v>88080.8</v>
      </c>
      <c r="H394" s="1260"/>
      <c r="I394" s="1260"/>
      <c r="J394" s="1260"/>
      <c r="K394" s="1223">
        <v>17.16</v>
      </c>
      <c r="L394" s="1224"/>
    </row>
    <row r="395" spans="2:12">
      <c r="B395" s="1249"/>
      <c r="C395" s="1259"/>
      <c r="D395" s="1262"/>
      <c r="E395" s="1262"/>
      <c r="F395" s="1249"/>
      <c r="G395" s="1255"/>
      <c r="H395" s="1262"/>
      <c r="I395" s="1262"/>
      <c r="J395" s="1262"/>
      <c r="K395" s="1225" t="s">
        <v>1764</v>
      </c>
      <c r="L395" s="1226"/>
    </row>
    <row r="396" spans="2:12">
      <c r="B396" s="119">
        <v>1</v>
      </c>
      <c r="C396" s="97" t="s">
        <v>1801</v>
      </c>
      <c r="D396" s="97"/>
      <c r="E396" s="97"/>
      <c r="F396" s="99">
        <v>50951.96</v>
      </c>
      <c r="G396" s="100">
        <v>50951.96</v>
      </c>
      <c r="H396" s="97"/>
      <c r="I396" s="97"/>
      <c r="J396" s="97"/>
      <c r="K396" s="1230">
        <v>9.9299999999999999E-2</v>
      </c>
      <c r="L396" s="1231"/>
    </row>
    <row r="397" spans="2:12">
      <c r="B397" s="119">
        <v>2</v>
      </c>
      <c r="C397" s="97" t="s">
        <v>1802</v>
      </c>
      <c r="D397" s="97"/>
      <c r="E397" s="97"/>
      <c r="F397" s="99">
        <v>2582.37</v>
      </c>
      <c r="G397" s="100">
        <v>2582.37</v>
      </c>
      <c r="H397" s="97"/>
      <c r="I397" s="97"/>
      <c r="J397" s="97"/>
      <c r="K397" s="1238" t="s">
        <v>1803</v>
      </c>
      <c r="L397" s="1239"/>
    </row>
    <row r="398" spans="2:12">
      <c r="B398" s="1250">
        <v>3</v>
      </c>
      <c r="C398" s="1260" t="s">
        <v>1804</v>
      </c>
      <c r="D398" s="1260"/>
      <c r="E398" s="1260"/>
      <c r="F398" s="1250">
        <v>3611.35</v>
      </c>
      <c r="G398" s="1266">
        <v>3611.35</v>
      </c>
      <c r="H398" s="1260"/>
      <c r="I398" s="1260"/>
      <c r="J398" s="1260"/>
      <c r="K398" s="1240" t="s">
        <v>1805</v>
      </c>
      <c r="L398" s="1241"/>
    </row>
    <row r="399" spans="2:12">
      <c r="B399" s="1252"/>
      <c r="C399" s="1261"/>
      <c r="D399" s="1261"/>
      <c r="E399" s="1261"/>
      <c r="F399" s="1252"/>
      <c r="G399" s="1268"/>
      <c r="H399" s="1261"/>
      <c r="I399" s="1261"/>
      <c r="J399" s="1261"/>
      <c r="K399" s="1242">
        <v>7.0000000000000001E-3</v>
      </c>
      <c r="L399" s="1243"/>
    </row>
    <row r="400" spans="2:12">
      <c r="B400" s="1251"/>
      <c r="C400" s="1262"/>
      <c r="D400" s="1262"/>
      <c r="E400" s="1262"/>
      <c r="F400" s="1251"/>
      <c r="G400" s="1267"/>
      <c r="H400" s="1262"/>
      <c r="I400" s="1262"/>
      <c r="J400" s="1262"/>
      <c r="K400" s="1244" t="s">
        <v>1806</v>
      </c>
      <c r="L400" s="1245"/>
    </row>
    <row r="401" spans="2:12">
      <c r="B401" s="119">
        <v>4</v>
      </c>
      <c r="C401" s="97" t="s">
        <v>1807</v>
      </c>
      <c r="D401" s="97"/>
      <c r="E401" s="97"/>
      <c r="F401" s="99">
        <v>290</v>
      </c>
      <c r="G401" s="97">
        <v>290</v>
      </c>
      <c r="H401" s="97"/>
      <c r="I401" s="97"/>
      <c r="J401" s="97"/>
      <c r="K401" s="1230">
        <v>5.9999999999999995E-4</v>
      </c>
      <c r="L401" s="1231"/>
    </row>
    <row r="402" spans="2:12">
      <c r="B402" s="1250">
        <v>4.0999999999999996</v>
      </c>
      <c r="C402" s="1260" t="s">
        <v>1808</v>
      </c>
      <c r="D402" s="1260"/>
      <c r="E402" s="1260"/>
      <c r="F402" s="1250">
        <v>290</v>
      </c>
      <c r="G402" s="1260">
        <v>290</v>
      </c>
      <c r="H402" s="1260"/>
      <c r="I402" s="1260"/>
      <c r="J402" s="1260"/>
      <c r="K402" s="1234" t="s">
        <v>1809</v>
      </c>
      <c r="L402" s="1235"/>
    </row>
    <row r="403" spans="2:12">
      <c r="B403" s="1252"/>
      <c r="C403" s="1261"/>
      <c r="D403" s="1261"/>
      <c r="E403" s="1261"/>
      <c r="F403" s="1252"/>
      <c r="G403" s="1261"/>
      <c r="H403" s="1261"/>
      <c r="I403" s="1261"/>
      <c r="J403" s="1261"/>
      <c r="K403" s="1242">
        <v>5.9999999999999995E-4</v>
      </c>
      <c r="L403" s="1243"/>
    </row>
    <row r="404" spans="2:12">
      <c r="B404" s="1251"/>
      <c r="C404" s="1262"/>
      <c r="D404" s="1262"/>
      <c r="E404" s="1262"/>
      <c r="F404" s="1251"/>
      <c r="G404" s="1262"/>
      <c r="H404" s="1262"/>
      <c r="I404" s="1262"/>
      <c r="J404" s="1262"/>
      <c r="K404" s="1236" t="s">
        <v>1810</v>
      </c>
      <c r="L404" s="1237"/>
    </row>
    <row r="405" spans="2:12">
      <c r="B405" s="1250">
        <v>5</v>
      </c>
      <c r="C405" s="1260" t="s">
        <v>1811</v>
      </c>
      <c r="D405" s="1260"/>
      <c r="E405" s="1260"/>
      <c r="F405" s="1250">
        <v>1016</v>
      </c>
      <c r="G405" s="1266">
        <v>1016</v>
      </c>
      <c r="H405" s="1260"/>
      <c r="I405" s="1260"/>
      <c r="J405" s="1260"/>
      <c r="K405" s="1234" t="s">
        <v>1812</v>
      </c>
      <c r="L405" s="1235"/>
    </row>
    <row r="406" spans="2:12">
      <c r="B406" s="1252"/>
      <c r="C406" s="1261"/>
      <c r="D406" s="1261"/>
      <c r="E406" s="1261"/>
      <c r="F406" s="1252"/>
      <c r="G406" s="1268"/>
      <c r="H406" s="1261"/>
      <c r="I406" s="1261"/>
      <c r="J406" s="1261"/>
      <c r="K406" s="1242">
        <v>2E-3</v>
      </c>
      <c r="L406" s="1243"/>
    </row>
    <row r="407" spans="2:12">
      <c r="B407" s="1251"/>
      <c r="C407" s="1262"/>
      <c r="D407" s="1262"/>
      <c r="E407" s="1262"/>
      <c r="F407" s="1251"/>
      <c r="G407" s="1267"/>
      <c r="H407" s="1262"/>
      <c r="I407" s="1262"/>
      <c r="J407" s="1262"/>
      <c r="K407" s="1236" t="s">
        <v>1813</v>
      </c>
      <c r="L407" s="1237"/>
    </row>
    <row r="409" spans="2:12">
      <c r="B409" s="81"/>
    </row>
    <row r="410" spans="2:12">
      <c r="B410" s="81"/>
    </row>
    <row r="411" spans="2:12">
      <c r="B411" s="82"/>
      <c r="C411" s="83"/>
      <c r="D411" s="1217" t="s">
        <v>1716</v>
      </c>
      <c r="E411" s="1218"/>
      <c r="F411" s="1218"/>
      <c r="G411" s="1219"/>
      <c r="H411" s="1220" t="s">
        <v>1717</v>
      </c>
      <c r="I411" s="1221"/>
      <c r="J411" s="1222"/>
      <c r="K411" s="83"/>
      <c r="L411" s="83"/>
    </row>
    <row r="412" spans="2:12">
      <c r="B412" s="84" t="s">
        <v>1718</v>
      </c>
      <c r="C412" s="85" t="s">
        <v>1719</v>
      </c>
      <c r="D412" s="1258" t="s">
        <v>1720</v>
      </c>
      <c r="E412" s="87" t="s">
        <v>1721</v>
      </c>
      <c r="F412" s="1248" t="s">
        <v>1722</v>
      </c>
      <c r="G412" s="1258" t="s">
        <v>1723</v>
      </c>
      <c r="H412" s="1223" t="s">
        <v>1724</v>
      </c>
      <c r="I412" s="1224"/>
      <c r="J412" s="106" t="s">
        <v>1725</v>
      </c>
      <c r="K412" s="87" t="s">
        <v>1726</v>
      </c>
      <c r="L412" s="106" t="s">
        <v>1727</v>
      </c>
    </row>
    <row r="413" spans="2:12">
      <c r="B413" s="89"/>
      <c r="C413" s="90"/>
      <c r="D413" s="1259"/>
      <c r="E413" s="92" t="s">
        <v>1728</v>
      </c>
      <c r="F413" s="1249"/>
      <c r="G413" s="1259"/>
      <c r="H413" s="1225" t="s">
        <v>1729</v>
      </c>
      <c r="I413" s="1226"/>
      <c r="J413" s="107" t="s">
        <v>1730</v>
      </c>
      <c r="K413" s="90"/>
      <c r="L413" s="90"/>
    </row>
    <row r="414" spans="2:12">
      <c r="B414" s="1250">
        <v>5.0999999999999996</v>
      </c>
      <c r="C414" s="1260" t="s">
        <v>1814</v>
      </c>
      <c r="D414" s="1260"/>
      <c r="E414" s="1260"/>
      <c r="F414" s="1250">
        <v>280</v>
      </c>
      <c r="G414" s="1260">
        <v>280</v>
      </c>
      <c r="H414" s="1260"/>
      <c r="I414" s="1260"/>
      <c r="J414" s="1260"/>
      <c r="K414" s="1234" t="s">
        <v>1812</v>
      </c>
      <c r="L414" s="1235"/>
    </row>
    <row r="415" spans="2:12">
      <c r="B415" s="1252"/>
      <c r="C415" s="1261"/>
      <c r="D415" s="1261"/>
      <c r="E415" s="1261"/>
      <c r="F415" s="1252"/>
      <c r="G415" s="1261"/>
      <c r="H415" s="1261"/>
      <c r="I415" s="1261"/>
      <c r="J415" s="1261"/>
      <c r="K415" s="1242">
        <v>5.0000000000000001E-4</v>
      </c>
      <c r="L415" s="1243"/>
    </row>
    <row r="416" spans="2:12">
      <c r="B416" s="1251"/>
      <c r="C416" s="1262"/>
      <c r="D416" s="1262"/>
      <c r="E416" s="1262"/>
      <c r="F416" s="1251"/>
      <c r="G416" s="1262"/>
      <c r="H416" s="1262"/>
      <c r="I416" s="1262"/>
      <c r="J416" s="1262"/>
      <c r="K416" s="1236" t="s">
        <v>1813</v>
      </c>
      <c r="L416" s="1237"/>
    </row>
    <row r="417" spans="2:12">
      <c r="B417" s="1250">
        <v>5.2</v>
      </c>
      <c r="C417" s="1260" t="s">
        <v>1815</v>
      </c>
      <c r="D417" s="1260"/>
      <c r="E417" s="1260"/>
      <c r="F417" s="1250">
        <v>608</v>
      </c>
      <c r="G417" s="1260">
        <v>608</v>
      </c>
      <c r="H417" s="1260"/>
      <c r="I417" s="1260"/>
      <c r="J417" s="1260"/>
      <c r="K417" s="1234" t="s">
        <v>1812</v>
      </c>
      <c r="L417" s="1235"/>
    </row>
    <row r="418" spans="2:12">
      <c r="B418" s="1252"/>
      <c r="C418" s="1261"/>
      <c r="D418" s="1261"/>
      <c r="E418" s="1261"/>
      <c r="F418" s="1252"/>
      <c r="G418" s="1261"/>
      <c r="H418" s="1261"/>
      <c r="I418" s="1261"/>
      <c r="J418" s="1261"/>
      <c r="K418" s="1242">
        <v>1.1999999999999999E-3</v>
      </c>
      <c r="L418" s="1243"/>
    </row>
    <row r="419" spans="2:12">
      <c r="B419" s="1251"/>
      <c r="C419" s="1262"/>
      <c r="D419" s="1262"/>
      <c r="E419" s="1262"/>
      <c r="F419" s="1251"/>
      <c r="G419" s="1262"/>
      <c r="H419" s="1262"/>
      <c r="I419" s="1262"/>
      <c r="J419" s="1262"/>
      <c r="K419" s="1236" t="s">
        <v>1813</v>
      </c>
      <c r="L419" s="1237"/>
    </row>
    <row r="420" spans="2:12" ht="24">
      <c r="B420" s="1250">
        <v>5.3</v>
      </c>
      <c r="C420" s="108" t="s">
        <v>1816</v>
      </c>
      <c r="D420" s="1260"/>
      <c r="E420" s="1260"/>
      <c r="F420" s="1250">
        <v>128</v>
      </c>
      <c r="G420" s="1260">
        <v>128</v>
      </c>
      <c r="H420" s="1260"/>
      <c r="I420" s="1260"/>
      <c r="J420" s="1260"/>
      <c r="K420" s="1234" t="s">
        <v>1812</v>
      </c>
      <c r="L420" s="1235"/>
    </row>
    <row r="421" spans="2:12">
      <c r="B421" s="1252"/>
      <c r="C421" s="108" t="s">
        <v>1817</v>
      </c>
      <c r="D421" s="1261"/>
      <c r="E421" s="1261"/>
      <c r="F421" s="1252"/>
      <c r="G421" s="1261"/>
      <c r="H421" s="1261"/>
      <c r="I421" s="1261"/>
      <c r="J421" s="1261"/>
      <c r="K421" s="1242">
        <v>2.0000000000000001E-4</v>
      </c>
      <c r="L421" s="1243"/>
    </row>
    <row r="422" spans="2:12">
      <c r="B422" s="1251"/>
      <c r="C422" s="90"/>
      <c r="D422" s="1262"/>
      <c r="E422" s="1262"/>
      <c r="F422" s="1251"/>
      <c r="G422" s="1262"/>
      <c r="H422" s="1262"/>
      <c r="I422" s="1262"/>
      <c r="J422" s="1262"/>
      <c r="K422" s="1236" t="s">
        <v>1813</v>
      </c>
      <c r="L422" s="1237"/>
    </row>
    <row r="423" spans="2:12">
      <c r="B423" s="1250">
        <v>6</v>
      </c>
      <c r="C423" s="1260" t="s">
        <v>1818</v>
      </c>
      <c r="D423" s="1260"/>
      <c r="E423" s="1260"/>
      <c r="F423" s="1250">
        <v>101.9</v>
      </c>
      <c r="G423" s="1260">
        <v>101.9</v>
      </c>
      <c r="H423" s="120">
        <v>679362.9</v>
      </c>
      <c r="I423" s="1258" t="s">
        <v>1819</v>
      </c>
      <c r="J423" s="1260"/>
      <c r="K423" s="1273" t="s">
        <v>1820</v>
      </c>
      <c r="L423" s="1274"/>
    </row>
    <row r="424" spans="2:12">
      <c r="B424" s="1251"/>
      <c r="C424" s="1262"/>
      <c r="D424" s="1262"/>
      <c r="E424" s="1262"/>
      <c r="F424" s="1251"/>
      <c r="G424" s="1262"/>
      <c r="H424" s="99">
        <v>0</v>
      </c>
      <c r="I424" s="1259"/>
      <c r="J424" s="1262"/>
      <c r="K424" s="1275"/>
      <c r="L424" s="1276"/>
    </row>
    <row r="425" spans="2:12">
      <c r="B425" s="119">
        <v>7</v>
      </c>
      <c r="C425" s="97" t="s">
        <v>1821</v>
      </c>
      <c r="D425" s="97"/>
      <c r="E425" s="97"/>
      <c r="F425" s="99">
        <v>9268.2800000000007</v>
      </c>
      <c r="G425" s="97">
        <v>9268.2800000000007</v>
      </c>
      <c r="H425" s="97"/>
      <c r="I425" s="97"/>
      <c r="J425" s="97"/>
      <c r="K425" s="1230">
        <v>1.8100000000000002E-2</v>
      </c>
      <c r="L425" s="1231"/>
    </row>
    <row r="426" spans="2:12">
      <c r="B426" s="119">
        <v>7.1</v>
      </c>
      <c r="C426" s="97" t="s">
        <v>1822</v>
      </c>
      <c r="D426" s="97"/>
      <c r="E426" s="97"/>
      <c r="F426" s="99">
        <v>2318.54</v>
      </c>
      <c r="G426" s="97">
        <v>2318.54</v>
      </c>
      <c r="H426" s="97"/>
      <c r="I426" s="97"/>
      <c r="J426" s="97"/>
      <c r="K426" s="1238" t="s">
        <v>1823</v>
      </c>
      <c r="L426" s="1239"/>
    </row>
    <row r="427" spans="2:12">
      <c r="B427" s="119">
        <v>7.2</v>
      </c>
      <c r="C427" s="97" t="s">
        <v>1824</v>
      </c>
      <c r="D427" s="97"/>
      <c r="E427" s="97"/>
      <c r="F427" s="99">
        <v>6074.94</v>
      </c>
      <c r="G427" s="97">
        <v>6074.94</v>
      </c>
      <c r="H427" s="97"/>
      <c r="I427" s="97"/>
      <c r="J427" s="97"/>
      <c r="K427" s="1238" t="s">
        <v>1825</v>
      </c>
      <c r="L427" s="1239"/>
    </row>
    <row r="428" spans="2:12">
      <c r="B428" s="119">
        <v>7.3</v>
      </c>
      <c r="C428" s="97" t="s">
        <v>1826</v>
      </c>
      <c r="D428" s="97"/>
      <c r="E428" s="97"/>
      <c r="F428" s="99">
        <v>486</v>
      </c>
      <c r="G428" s="97">
        <v>486</v>
      </c>
      <c r="H428" s="97"/>
      <c r="I428" s="97"/>
      <c r="J428" s="97"/>
      <c r="K428" s="1238" t="s">
        <v>1827</v>
      </c>
      <c r="L428" s="1239"/>
    </row>
    <row r="429" spans="2:12">
      <c r="B429" s="119">
        <v>7.4</v>
      </c>
      <c r="C429" s="97" t="s">
        <v>1828</v>
      </c>
      <c r="D429" s="97"/>
      <c r="E429" s="97"/>
      <c r="F429" s="99">
        <v>388.8</v>
      </c>
      <c r="G429" s="97">
        <v>388.8</v>
      </c>
      <c r="H429" s="97"/>
      <c r="I429" s="97"/>
      <c r="J429" s="97"/>
      <c r="K429" s="1230">
        <v>8.0000000000000004E-4</v>
      </c>
      <c r="L429" s="1231"/>
    </row>
    <row r="430" spans="2:12">
      <c r="B430" s="1250">
        <v>8</v>
      </c>
      <c r="C430" s="1260" t="s">
        <v>1829</v>
      </c>
      <c r="D430" s="1260"/>
      <c r="E430" s="1260"/>
      <c r="F430" s="1250">
        <v>3348.93</v>
      </c>
      <c r="G430" s="1260">
        <v>3348.93</v>
      </c>
      <c r="H430" s="1260"/>
      <c r="I430" s="1260"/>
      <c r="J430" s="1260"/>
      <c r="K430" s="1234" t="s">
        <v>1830</v>
      </c>
      <c r="L430" s="1235"/>
    </row>
    <row r="431" spans="2:12">
      <c r="B431" s="1252"/>
      <c r="C431" s="1261"/>
      <c r="D431" s="1261"/>
      <c r="E431" s="1261"/>
      <c r="F431" s="1252"/>
      <c r="G431" s="1261"/>
      <c r="H431" s="1261"/>
      <c r="I431" s="1261"/>
      <c r="J431" s="1261"/>
      <c r="K431" s="1242">
        <v>6.4999999999999997E-3</v>
      </c>
      <c r="L431" s="1243"/>
    </row>
    <row r="432" spans="2:12">
      <c r="B432" s="1251"/>
      <c r="C432" s="1262"/>
      <c r="D432" s="1262"/>
      <c r="E432" s="1262"/>
      <c r="F432" s="1251"/>
      <c r="G432" s="1262"/>
      <c r="H432" s="1262"/>
      <c r="I432" s="1262"/>
      <c r="J432" s="1262"/>
      <c r="K432" s="1236" t="s">
        <v>1831</v>
      </c>
      <c r="L432" s="1237"/>
    </row>
    <row r="433" spans="2:12">
      <c r="B433" s="1250">
        <v>8.1</v>
      </c>
      <c r="C433" s="1260" t="s">
        <v>1832</v>
      </c>
      <c r="D433" s="1260"/>
      <c r="E433" s="1260"/>
      <c r="F433" s="1250">
        <v>199.44</v>
      </c>
      <c r="G433" s="1260">
        <v>199.44</v>
      </c>
      <c r="H433" s="1260"/>
      <c r="I433" s="1260"/>
      <c r="J433" s="1260"/>
      <c r="K433" s="1234" t="s">
        <v>1830</v>
      </c>
      <c r="L433" s="1235"/>
    </row>
    <row r="434" spans="2:12">
      <c r="B434" s="1252"/>
      <c r="C434" s="1261"/>
      <c r="D434" s="1261"/>
      <c r="E434" s="1261"/>
      <c r="F434" s="1252"/>
      <c r="G434" s="1261"/>
      <c r="H434" s="1261"/>
      <c r="I434" s="1261"/>
      <c r="J434" s="1261"/>
      <c r="K434" s="1242">
        <v>4.0000000000000002E-4</v>
      </c>
      <c r="L434" s="1243"/>
    </row>
    <row r="435" spans="2:12">
      <c r="B435" s="1251"/>
      <c r="C435" s="1262"/>
      <c r="D435" s="1262"/>
      <c r="E435" s="1262"/>
      <c r="F435" s="1251"/>
      <c r="G435" s="1262"/>
      <c r="H435" s="1262"/>
      <c r="I435" s="1262"/>
      <c r="J435" s="1262"/>
      <c r="K435" s="1236" t="s">
        <v>1831</v>
      </c>
      <c r="L435" s="1237"/>
    </row>
    <row r="436" spans="2:12">
      <c r="B436" s="1250">
        <v>8.1999999999999993</v>
      </c>
      <c r="C436" s="1260" t="s">
        <v>1833</v>
      </c>
      <c r="D436" s="1260"/>
      <c r="E436" s="1260"/>
      <c r="F436" s="1250">
        <v>125.88</v>
      </c>
      <c r="G436" s="1260">
        <v>125.88</v>
      </c>
      <c r="H436" s="1260"/>
      <c r="I436" s="1260"/>
      <c r="J436" s="1260"/>
      <c r="K436" s="1234" t="s">
        <v>1830</v>
      </c>
      <c r="L436" s="1235"/>
    </row>
    <row r="437" spans="2:12">
      <c r="B437" s="1252"/>
      <c r="C437" s="1261"/>
      <c r="D437" s="1261"/>
      <c r="E437" s="1261"/>
      <c r="F437" s="1252"/>
      <c r="G437" s="1261"/>
      <c r="H437" s="1261"/>
      <c r="I437" s="1261"/>
      <c r="J437" s="1261"/>
      <c r="K437" s="1242">
        <v>2.0000000000000001E-4</v>
      </c>
      <c r="L437" s="1243"/>
    </row>
    <row r="438" spans="2:12">
      <c r="B438" s="1251"/>
      <c r="C438" s="1262"/>
      <c r="D438" s="1262"/>
      <c r="E438" s="1262"/>
      <c r="F438" s="1251"/>
      <c r="G438" s="1262"/>
      <c r="H438" s="1262"/>
      <c r="I438" s="1262"/>
      <c r="J438" s="1262"/>
      <c r="K438" s="1236" t="s">
        <v>1831</v>
      </c>
      <c r="L438" s="1237"/>
    </row>
    <row r="439" spans="2:12">
      <c r="B439" s="1250">
        <v>8.3000000000000007</v>
      </c>
      <c r="C439" s="1260" t="s">
        <v>1834</v>
      </c>
      <c r="D439" s="1260"/>
      <c r="E439" s="1260"/>
      <c r="F439" s="1250">
        <v>1484.09</v>
      </c>
      <c r="G439" s="1260">
        <v>1484.09</v>
      </c>
      <c r="H439" s="1260"/>
      <c r="I439" s="1260"/>
      <c r="J439" s="1260"/>
      <c r="K439" s="1234" t="s">
        <v>1830</v>
      </c>
      <c r="L439" s="1235"/>
    </row>
    <row r="440" spans="2:12">
      <c r="B440" s="1252"/>
      <c r="C440" s="1261"/>
      <c r="D440" s="1261"/>
      <c r="E440" s="1261"/>
      <c r="F440" s="1252"/>
      <c r="G440" s="1261"/>
      <c r="H440" s="1261"/>
      <c r="I440" s="1261"/>
      <c r="J440" s="1261"/>
      <c r="K440" s="1242">
        <v>2.8999999999999998E-3</v>
      </c>
      <c r="L440" s="1243"/>
    </row>
    <row r="441" spans="2:12">
      <c r="B441" s="1251"/>
      <c r="C441" s="1262"/>
      <c r="D441" s="1262"/>
      <c r="E441" s="1262"/>
      <c r="F441" s="1251"/>
      <c r="G441" s="1262"/>
      <c r="H441" s="1262"/>
      <c r="I441" s="1262"/>
      <c r="J441" s="1262"/>
      <c r="K441" s="1236" t="s">
        <v>1831</v>
      </c>
      <c r="L441" s="1237"/>
    </row>
    <row r="442" spans="2:12">
      <c r="B442" s="119">
        <v>8.4</v>
      </c>
      <c r="C442" s="97" t="s">
        <v>1835</v>
      </c>
      <c r="D442" s="97"/>
      <c r="E442" s="97"/>
      <c r="F442" s="99">
        <v>1539.52</v>
      </c>
      <c r="G442" s="97">
        <v>1539.52</v>
      </c>
      <c r="H442" s="97"/>
      <c r="I442" s="97"/>
      <c r="J442" s="97"/>
      <c r="K442" s="1220" t="s">
        <v>1836</v>
      </c>
      <c r="L442" s="1222"/>
    </row>
    <row r="444" spans="2:12">
      <c r="B444" s="81"/>
    </row>
    <row r="445" spans="2:12">
      <c r="B445" s="81"/>
    </row>
    <row r="446" spans="2:12">
      <c r="B446" s="82"/>
      <c r="C446" s="83"/>
      <c r="D446" s="1217" t="s">
        <v>1716</v>
      </c>
      <c r="E446" s="1218"/>
      <c r="F446" s="1218"/>
      <c r="G446" s="1219"/>
      <c r="H446" s="1220" t="s">
        <v>1717</v>
      </c>
      <c r="I446" s="1221"/>
      <c r="J446" s="1222"/>
      <c r="K446" s="83"/>
      <c r="L446" s="83"/>
    </row>
    <row r="447" spans="2:12">
      <c r="B447" s="84" t="s">
        <v>1718</v>
      </c>
      <c r="C447" s="85" t="s">
        <v>1719</v>
      </c>
      <c r="D447" s="1258" t="s">
        <v>1720</v>
      </c>
      <c r="E447" s="87" t="s">
        <v>1721</v>
      </c>
      <c r="F447" s="1248" t="s">
        <v>1722</v>
      </c>
      <c r="G447" s="1258" t="s">
        <v>1723</v>
      </c>
      <c r="H447" s="1223" t="s">
        <v>1724</v>
      </c>
      <c r="I447" s="1224"/>
      <c r="J447" s="106" t="s">
        <v>1725</v>
      </c>
      <c r="K447" s="87" t="s">
        <v>1726</v>
      </c>
      <c r="L447" s="106" t="s">
        <v>1727</v>
      </c>
    </row>
    <row r="448" spans="2:12">
      <c r="B448" s="89"/>
      <c r="C448" s="90"/>
      <c r="D448" s="1259"/>
      <c r="E448" s="92" t="s">
        <v>1728</v>
      </c>
      <c r="F448" s="1249"/>
      <c r="G448" s="1259"/>
      <c r="H448" s="1225" t="s">
        <v>1729</v>
      </c>
      <c r="I448" s="1226"/>
      <c r="J448" s="107" t="s">
        <v>1730</v>
      </c>
      <c r="K448" s="90"/>
      <c r="L448" s="90"/>
    </row>
    <row r="449" spans="2:12">
      <c r="B449" s="98"/>
      <c r="C449" s="97"/>
      <c r="D449" s="97"/>
      <c r="E449" s="97"/>
      <c r="F449" s="97"/>
      <c r="G449" s="97"/>
      <c r="H449" s="97"/>
      <c r="I449" s="97"/>
      <c r="J449" s="97"/>
      <c r="K449" s="1220" t="s">
        <v>1831</v>
      </c>
      <c r="L449" s="1222"/>
    </row>
    <row r="450" spans="2:12">
      <c r="B450" s="119">
        <v>9</v>
      </c>
      <c r="C450" s="97" t="s">
        <v>1837</v>
      </c>
      <c r="D450" s="97"/>
      <c r="E450" s="97"/>
      <c r="F450" s="99">
        <v>3622.72</v>
      </c>
      <c r="G450" s="100">
        <v>3622.72</v>
      </c>
      <c r="H450" s="97"/>
      <c r="I450" s="97"/>
      <c r="J450" s="97"/>
      <c r="K450" s="1220" t="s">
        <v>1838</v>
      </c>
      <c r="L450" s="1222"/>
    </row>
    <row r="451" spans="2:12">
      <c r="B451" s="119">
        <v>10</v>
      </c>
      <c r="C451" s="97" t="s">
        <v>1839</v>
      </c>
      <c r="D451" s="97"/>
      <c r="E451" s="97"/>
      <c r="F451" s="99">
        <v>1811.36</v>
      </c>
      <c r="G451" s="100">
        <v>1811.36</v>
      </c>
      <c r="H451" s="97"/>
      <c r="I451" s="97"/>
      <c r="J451" s="97"/>
      <c r="K451" s="1220" t="s">
        <v>1840</v>
      </c>
      <c r="L451" s="1222"/>
    </row>
    <row r="452" spans="2:12">
      <c r="B452" s="1250">
        <v>11</v>
      </c>
      <c r="C452" s="1260" t="s">
        <v>1841</v>
      </c>
      <c r="D452" s="1260"/>
      <c r="E452" s="1260"/>
      <c r="F452" s="1250">
        <v>143.53</v>
      </c>
      <c r="G452" s="1260">
        <v>143.53</v>
      </c>
      <c r="H452" s="1260"/>
      <c r="I452" s="1260"/>
      <c r="J452" s="1260"/>
      <c r="K452" s="1234" t="s">
        <v>1842</v>
      </c>
      <c r="L452" s="1235"/>
    </row>
    <row r="453" spans="2:12">
      <c r="B453" s="1252"/>
      <c r="C453" s="1261"/>
      <c r="D453" s="1261"/>
      <c r="E453" s="1261"/>
      <c r="F453" s="1252"/>
      <c r="G453" s="1261"/>
      <c r="H453" s="1261"/>
      <c r="I453" s="1261"/>
      <c r="J453" s="1261"/>
      <c r="K453" s="1242">
        <v>2.9999999999999997E-4</v>
      </c>
      <c r="L453" s="1243"/>
    </row>
    <row r="454" spans="2:12">
      <c r="B454" s="1251"/>
      <c r="C454" s="1262"/>
      <c r="D454" s="1262"/>
      <c r="E454" s="1262"/>
      <c r="F454" s="1251"/>
      <c r="G454" s="1262"/>
      <c r="H454" s="1262"/>
      <c r="I454" s="1262"/>
      <c r="J454" s="1262"/>
      <c r="K454" s="1236" t="s">
        <v>1810</v>
      </c>
      <c r="L454" s="1237"/>
    </row>
    <row r="455" spans="2:12">
      <c r="B455" s="119">
        <v>11.1</v>
      </c>
      <c r="C455" s="97" t="s">
        <v>1843</v>
      </c>
      <c r="D455" s="97"/>
      <c r="E455" s="97"/>
      <c r="F455" s="99">
        <v>101.78</v>
      </c>
      <c r="G455" s="97">
        <v>101.78</v>
      </c>
      <c r="H455" s="97"/>
      <c r="I455" s="97"/>
      <c r="J455" s="97"/>
      <c r="K455" s="1230">
        <v>2.0000000000000001E-4</v>
      </c>
      <c r="L455" s="1231"/>
    </row>
    <row r="456" spans="2:12">
      <c r="B456" s="119">
        <v>11.2</v>
      </c>
      <c r="C456" s="97" t="s">
        <v>1844</v>
      </c>
      <c r="D456" s="97"/>
      <c r="E456" s="97"/>
      <c r="F456" s="99">
        <v>41.75</v>
      </c>
      <c r="G456" s="102">
        <v>41.75</v>
      </c>
      <c r="H456" s="97"/>
      <c r="I456" s="97"/>
      <c r="J456" s="97"/>
      <c r="K456" s="1230">
        <v>1E-4</v>
      </c>
      <c r="L456" s="1231"/>
    </row>
    <row r="457" spans="2:12">
      <c r="B457" s="119" t="s">
        <v>1680</v>
      </c>
      <c r="C457" s="97" t="s">
        <v>1845</v>
      </c>
      <c r="D457" s="97"/>
      <c r="E457" s="97"/>
      <c r="F457" s="99">
        <v>18.02</v>
      </c>
      <c r="G457" s="102">
        <v>18.02</v>
      </c>
      <c r="H457" s="97"/>
      <c r="I457" s="97"/>
      <c r="J457" s="97"/>
      <c r="K457" s="1230">
        <v>0</v>
      </c>
      <c r="L457" s="1231"/>
    </row>
    <row r="458" spans="2:12">
      <c r="B458" s="119" t="s">
        <v>1682</v>
      </c>
      <c r="C458" s="97" t="s">
        <v>1846</v>
      </c>
      <c r="D458" s="97"/>
      <c r="E458" s="97"/>
      <c r="F458" s="99">
        <v>10.25</v>
      </c>
      <c r="G458" s="102">
        <v>10.25</v>
      </c>
      <c r="H458" s="97"/>
      <c r="I458" s="97"/>
      <c r="J458" s="97"/>
      <c r="K458" s="1230">
        <v>0</v>
      </c>
      <c r="L458" s="1231"/>
    </row>
    <row r="459" spans="2:12">
      <c r="B459" s="119" t="s">
        <v>1684</v>
      </c>
      <c r="C459" s="97" t="s">
        <v>1847</v>
      </c>
      <c r="D459" s="97"/>
      <c r="E459" s="97"/>
      <c r="F459" s="99">
        <v>13.48</v>
      </c>
      <c r="G459" s="102">
        <v>13.48</v>
      </c>
      <c r="H459" s="97"/>
      <c r="I459" s="97"/>
      <c r="J459" s="97"/>
      <c r="K459" s="1230">
        <v>0</v>
      </c>
      <c r="L459" s="1231"/>
    </row>
    <row r="460" spans="2:12">
      <c r="B460" s="119">
        <v>12</v>
      </c>
      <c r="C460" s="97" t="s">
        <v>1848</v>
      </c>
      <c r="D460" s="97"/>
      <c r="E460" s="97"/>
      <c r="F460" s="99">
        <v>76.319999999999993</v>
      </c>
      <c r="G460" s="102">
        <v>76.319999999999993</v>
      </c>
      <c r="H460" s="97"/>
      <c r="I460" s="97"/>
      <c r="J460" s="97"/>
      <c r="K460" s="1230">
        <v>1E-4</v>
      </c>
      <c r="L460" s="1231"/>
    </row>
    <row r="461" spans="2:12">
      <c r="B461" s="119">
        <v>13</v>
      </c>
      <c r="C461" s="97" t="s">
        <v>1849</v>
      </c>
      <c r="D461" s="97"/>
      <c r="E461" s="97"/>
      <c r="F461" s="99">
        <v>121.98</v>
      </c>
      <c r="G461" s="97">
        <v>121.98</v>
      </c>
      <c r="H461" s="97"/>
      <c r="I461" s="97"/>
      <c r="J461" s="97"/>
      <c r="K461" s="1230">
        <v>2.0000000000000001E-4</v>
      </c>
      <c r="L461" s="1231"/>
    </row>
    <row r="462" spans="2:12">
      <c r="B462" s="119">
        <v>14</v>
      </c>
      <c r="C462" s="97" t="s">
        <v>1850</v>
      </c>
      <c r="D462" s="97"/>
      <c r="E462" s="97"/>
      <c r="F462" s="99">
        <v>40</v>
      </c>
      <c r="G462" s="102">
        <v>40</v>
      </c>
      <c r="H462" s="97"/>
      <c r="I462" s="97"/>
      <c r="J462" s="97"/>
      <c r="K462" s="1230">
        <v>1E-4</v>
      </c>
      <c r="L462" s="1231"/>
    </row>
    <row r="463" spans="2:12">
      <c r="B463" s="119">
        <v>15</v>
      </c>
      <c r="C463" s="97" t="s">
        <v>1851</v>
      </c>
      <c r="D463" s="97"/>
      <c r="E463" s="97"/>
      <c r="F463" s="99">
        <v>8368.19</v>
      </c>
      <c r="G463" s="100">
        <v>8368.19</v>
      </c>
      <c r="H463" s="97"/>
      <c r="I463" s="97"/>
      <c r="J463" s="97"/>
      <c r="K463" s="1230">
        <v>1.6299999999999999E-2</v>
      </c>
      <c r="L463" s="1231"/>
    </row>
    <row r="464" spans="2:12">
      <c r="B464" s="119">
        <v>16</v>
      </c>
      <c r="C464" s="97" t="s">
        <v>1852</v>
      </c>
      <c r="D464" s="97"/>
      <c r="E464" s="97"/>
      <c r="F464" s="99">
        <v>40</v>
      </c>
      <c r="G464" s="102">
        <v>40</v>
      </c>
      <c r="H464" s="97"/>
      <c r="I464" s="97"/>
      <c r="J464" s="97"/>
      <c r="K464" s="1230">
        <v>1E-4</v>
      </c>
      <c r="L464" s="1231"/>
    </row>
    <row r="465" spans="2:12">
      <c r="B465" s="119">
        <v>17</v>
      </c>
      <c r="C465" s="97" t="s">
        <v>1853</v>
      </c>
      <c r="D465" s="97"/>
      <c r="E465" s="97"/>
      <c r="F465" s="99">
        <v>50</v>
      </c>
      <c r="G465" s="102">
        <v>50</v>
      </c>
      <c r="H465" s="97"/>
      <c r="I465" s="97"/>
      <c r="J465" s="97"/>
      <c r="K465" s="1230">
        <v>1E-4</v>
      </c>
      <c r="L465" s="1231"/>
    </row>
    <row r="466" spans="2:12">
      <c r="B466" s="119">
        <v>18</v>
      </c>
      <c r="C466" s="97" t="s">
        <v>1854</v>
      </c>
      <c r="D466" s="97"/>
      <c r="E466" s="97"/>
      <c r="F466" s="99">
        <v>100</v>
      </c>
      <c r="G466" s="97">
        <v>100</v>
      </c>
      <c r="H466" s="97"/>
      <c r="I466" s="97"/>
      <c r="J466" s="97"/>
      <c r="K466" s="1230">
        <v>2.0000000000000001E-4</v>
      </c>
      <c r="L466" s="1231"/>
    </row>
    <row r="467" spans="2:12">
      <c r="B467" s="119">
        <v>19</v>
      </c>
      <c r="C467" s="97" t="s">
        <v>1855</v>
      </c>
      <c r="D467" s="97"/>
      <c r="E467" s="97"/>
      <c r="F467" s="99">
        <v>2535.91</v>
      </c>
      <c r="G467" s="100">
        <v>2535.91</v>
      </c>
      <c r="H467" s="97"/>
      <c r="I467" s="97"/>
      <c r="J467" s="97"/>
      <c r="K467" s="1230">
        <v>4.8999999999999998E-3</v>
      </c>
      <c r="L467" s="1231"/>
    </row>
    <row r="468" spans="2:12">
      <c r="B468" s="93" t="s">
        <v>1856</v>
      </c>
      <c r="C468" s="107" t="s">
        <v>1857</v>
      </c>
      <c r="D468" s="97"/>
      <c r="E468" s="97"/>
      <c r="F468" s="97"/>
      <c r="G468" s="96">
        <v>36028.26</v>
      </c>
      <c r="H468" s="97"/>
      <c r="I468" s="97"/>
      <c r="J468" s="97"/>
      <c r="K468" s="121" t="s">
        <v>1696</v>
      </c>
      <c r="L468" s="114">
        <v>7.0199999999999999E-2</v>
      </c>
    </row>
    <row r="469" spans="2:12">
      <c r="B469" s="93" t="s">
        <v>1858</v>
      </c>
      <c r="C469" s="107" t="s">
        <v>1859</v>
      </c>
      <c r="D469" s="97"/>
      <c r="E469" s="97"/>
      <c r="F469" s="97"/>
      <c r="G469" s="96">
        <v>2300</v>
      </c>
      <c r="H469" s="97"/>
      <c r="I469" s="97"/>
      <c r="J469" s="97"/>
      <c r="K469" s="1230">
        <v>4.4999999999999997E-3</v>
      </c>
      <c r="L469" s="1231"/>
    </row>
    <row r="470" spans="2:12">
      <c r="B470" s="119">
        <v>1</v>
      </c>
      <c r="C470" s="97" t="s">
        <v>1860</v>
      </c>
      <c r="D470" s="97"/>
      <c r="E470" s="97"/>
      <c r="F470" s="97"/>
      <c r="G470" s="100">
        <v>1000</v>
      </c>
      <c r="H470" s="97"/>
      <c r="I470" s="97"/>
      <c r="J470" s="97"/>
      <c r="K470" s="1230">
        <v>1.9E-3</v>
      </c>
      <c r="L470" s="1231"/>
    </row>
    <row r="472" spans="2:12">
      <c r="B472" s="81"/>
    </row>
    <row r="473" spans="2:12">
      <c r="B473" s="81"/>
    </row>
    <row r="474" spans="2:12">
      <c r="B474" s="82"/>
      <c r="C474" s="83"/>
      <c r="D474" s="1217" t="s">
        <v>1716</v>
      </c>
      <c r="E474" s="1218"/>
      <c r="F474" s="1218"/>
      <c r="G474" s="1219"/>
      <c r="H474" s="1220" t="s">
        <v>1717</v>
      </c>
      <c r="I474" s="1221"/>
      <c r="J474" s="1222"/>
      <c r="K474" s="83"/>
      <c r="L474" s="83"/>
    </row>
    <row r="475" spans="2:12">
      <c r="B475" s="84" t="s">
        <v>1718</v>
      </c>
      <c r="C475" s="85" t="s">
        <v>1719</v>
      </c>
      <c r="D475" s="1258" t="s">
        <v>1720</v>
      </c>
      <c r="E475" s="87" t="s">
        <v>1721</v>
      </c>
      <c r="F475" s="1258" t="s">
        <v>1722</v>
      </c>
      <c r="G475" s="1258" t="s">
        <v>1723</v>
      </c>
      <c r="H475" s="1223" t="s">
        <v>1724</v>
      </c>
      <c r="I475" s="1224"/>
      <c r="J475" s="106" t="s">
        <v>1725</v>
      </c>
      <c r="K475" s="87" t="s">
        <v>1726</v>
      </c>
      <c r="L475" s="106" t="s">
        <v>1727</v>
      </c>
    </row>
    <row r="476" spans="2:12">
      <c r="B476" s="89"/>
      <c r="C476" s="90"/>
      <c r="D476" s="1259"/>
      <c r="E476" s="92" t="s">
        <v>1728</v>
      </c>
      <c r="F476" s="1259"/>
      <c r="G476" s="1259"/>
      <c r="H476" s="1225" t="s">
        <v>1729</v>
      </c>
      <c r="I476" s="1226"/>
      <c r="J476" s="107" t="s">
        <v>1730</v>
      </c>
      <c r="K476" s="90"/>
      <c r="L476" s="90"/>
    </row>
    <row r="477" spans="2:12">
      <c r="B477" s="101">
        <v>2</v>
      </c>
      <c r="C477" s="97" t="s">
        <v>1861</v>
      </c>
      <c r="D477" s="97"/>
      <c r="E477" s="97"/>
      <c r="F477" s="97"/>
      <c r="G477" s="97">
        <v>600</v>
      </c>
      <c r="H477" s="97"/>
      <c r="I477" s="97"/>
      <c r="J477" s="97"/>
      <c r="K477" s="1230">
        <v>1.1999999999999999E-3</v>
      </c>
      <c r="L477" s="1231"/>
    </row>
    <row r="478" spans="2:12">
      <c r="B478" s="101">
        <v>3</v>
      </c>
      <c r="C478" s="97" t="s">
        <v>1862</v>
      </c>
      <c r="D478" s="97"/>
      <c r="E478" s="97"/>
      <c r="F478" s="97"/>
      <c r="G478" s="97">
        <v>700</v>
      </c>
      <c r="H478" s="97"/>
      <c r="I478" s="97"/>
      <c r="J478" s="97"/>
      <c r="K478" s="1230">
        <v>1.4E-3</v>
      </c>
      <c r="L478" s="1231"/>
    </row>
    <row r="479" spans="2:12">
      <c r="B479" s="1253" t="s">
        <v>1863</v>
      </c>
      <c r="C479" s="1258" t="s">
        <v>1864</v>
      </c>
      <c r="D479" s="1260"/>
      <c r="E479" s="1260"/>
      <c r="F479" s="1260"/>
      <c r="G479" s="1253">
        <v>488681.49</v>
      </c>
      <c r="H479" s="1260"/>
      <c r="I479" s="1260"/>
      <c r="J479" s="1260"/>
      <c r="K479" s="1234">
        <v>95.23</v>
      </c>
      <c r="L479" s="1235"/>
    </row>
    <row r="480" spans="2:12">
      <c r="B480" s="1254"/>
      <c r="C480" s="1263"/>
      <c r="D480" s="1261"/>
      <c r="E480" s="1261"/>
      <c r="F480" s="1261"/>
      <c r="G480" s="1254"/>
      <c r="H480" s="1261"/>
      <c r="I480" s="1261"/>
      <c r="J480" s="1261"/>
      <c r="K480" s="1246" t="s">
        <v>1865</v>
      </c>
      <c r="L480" s="1247"/>
    </row>
    <row r="481" spans="2:12">
      <c r="B481" s="1255"/>
      <c r="C481" s="1259"/>
      <c r="D481" s="1262"/>
      <c r="E481" s="1262"/>
      <c r="F481" s="1262"/>
      <c r="G481" s="1255"/>
      <c r="H481" s="1262"/>
      <c r="I481" s="1262"/>
      <c r="J481" s="1262"/>
      <c r="K481" s="1236" t="s">
        <v>1764</v>
      </c>
      <c r="L481" s="1237"/>
    </row>
    <row r="482" spans="2:12">
      <c r="B482" s="91" t="s">
        <v>1866</v>
      </c>
      <c r="C482" s="107" t="s">
        <v>1867</v>
      </c>
      <c r="D482" s="97"/>
      <c r="E482" s="97"/>
      <c r="F482" s="97"/>
      <c r="G482" s="96">
        <v>22374</v>
      </c>
      <c r="H482" s="97"/>
      <c r="I482" s="97"/>
      <c r="J482" s="97"/>
      <c r="K482" s="97"/>
      <c r="L482" s="114">
        <v>4.36E-2</v>
      </c>
    </row>
    <row r="483" spans="2:12">
      <c r="B483" s="101">
        <v>1</v>
      </c>
      <c r="C483" s="97" t="s">
        <v>1868</v>
      </c>
      <c r="D483" s="97"/>
      <c r="E483" s="97"/>
      <c r="F483" s="97"/>
      <c r="G483" s="100">
        <v>20340</v>
      </c>
      <c r="H483" s="97"/>
      <c r="I483" s="97"/>
      <c r="J483" s="97"/>
      <c r="K483" s="1230">
        <v>3.9600000000000003E-2</v>
      </c>
      <c r="L483" s="1231"/>
    </row>
    <row r="484" spans="2:12">
      <c r="B484" s="101">
        <v>2</v>
      </c>
      <c r="C484" s="97" t="s">
        <v>1869</v>
      </c>
      <c r="D484" s="97"/>
      <c r="E484" s="97"/>
      <c r="F484" s="97"/>
      <c r="G484" s="97">
        <v>678</v>
      </c>
      <c r="H484" s="97"/>
      <c r="I484" s="97"/>
      <c r="J484" s="97"/>
      <c r="K484" s="1230">
        <v>1.2999999999999999E-3</v>
      </c>
      <c r="L484" s="1231"/>
    </row>
    <row r="485" spans="2:12">
      <c r="B485" s="101">
        <v>3</v>
      </c>
      <c r="C485" s="97" t="s">
        <v>1870</v>
      </c>
      <c r="D485" s="97"/>
      <c r="E485" s="97"/>
      <c r="F485" s="97"/>
      <c r="G485" s="100">
        <v>1356</v>
      </c>
      <c r="H485" s="97"/>
      <c r="I485" s="97"/>
      <c r="J485" s="97"/>
      <c r="K485" s="1230">
        <v>2.5999999999999999E-3</v>
      </c>
      <c r="L485" s="1231"/>
    </row>
    <row r="486" spans="2:12">
      <c r="B486" s="91" t="s">
        <v>1871</v>
      </c>
      <c r="C486" s="107" t="s">
        <v>1872</v>
      </c>
      <c r="D486" s="97"/>
      <c r="E486" s="97"/>
      <c r="F486" s="97"/>
      <c r="G486" s="96">
        <v>2118.39</v>
      </c>
      <c r="H486" s="97"/>
      <c r="I486" s="97"/>
      <c r="J486" s="97"/>
      <c r="K486" s="1230">
        <v>4.1000000000000003E-3</v>
      </c>
      <c r="L486" s="1231"/>
    </row>
    <row r="487" spans="2:12">
      <c r="B487" s="1253" t="s">
        <v>1873</v>
      </c>
      <c r="C487" s="1258" t="s">
        <v>1874</v>
      </c>
      <c r="D487" s="1260"/>
      <c r="E487" s="1260"/>
      <c r="F487" s="1260"/>
      <c r="G487" s="1253">
        <v>513173.89</v>
      </c>
      <c r="H487" s="1260"/>
      <c r="I487" s="1260"/>
      <c r="J487" s="1260"/>
      <c r="K487" s="1264" t="s">
        <v>1875</v>
      </c>
      <c r="L487" s="120">
        <v>100</v>
      </c>
    </row>
    <row r="488" spans="2:12">
      <c r="B488" s="1255"/>
      <c r="C488" s="1259"/>
      <c r="D488" s="1262"/>
      <c r="E488" s="1262"/>
      <c r="F488" s="1262"/>
      <c r="G488" s="1255"/>
      <c r="H488" s="1262"/>
      <c r="I488" s="1262"/>
      <c r="J488" s="1262"/>
      <c r="K488" s="1265"/>
      <c r="L488" s="99" t="s">
        <v>1764</v>
      </c>
    </row>
  </sheetData>
  <mergeCells count="665">
    <mergeCell ref="K319:L320"/>
    <mergeCell ref="K384:L385"/>
    <mergeCell ref="K321:L322"/>
    <mergeCell ref="K317:L318"/>
    <mergeCell ref="K315:L316"/>
    <mergeCell ref="K311:L312"/>
    <mergeCell ref="K313:L314"/>
    <mergeCell ref="K386:L387"/>
    <mergeCell ref="K266:K267"/>
    <mergeCell ref="K284:K285"/>
    <mergeCell ref="K286:K287"/>
    <mergeCell ref="K487:K488"/>
    <mergeCell ref="L193:L194"/>
    <mergeCell ref="L211:L212"/>
    <mergeCell ref="L233:L234"/>
    <mergeCell ref="L253:L254"/>
    <mergeCell ref="L266:L267"/>
    <mergeCell ref="L284:L285"/>
    <mergeCell ref="L286:L287"/>
    <mergeCell ref="K388:L389"/>
    <mergeCell ref="K374:L375"/>
    <mergeCell ref="K376:L377"/>
    <mergeCell ref="K372:L373"/>
    <mergeCell ref="K368:L369"/>
    <mergeCell ref="K370:L371"/>
    <mergeCell ref="K366:L367"/>
    <mergeCell ref="K364:L365"/>
    <mergeCell ref="K309:L310"/>
    <mergeCell ref="K307:L308"/>
    <mergeCell ref="K305:L306"/>
    <mergeCell ref="K423:L424"/>
    <mergeCell ref="K331:L332"/>
    <mergeCell ref="J420:J422"/>
    <mergeCell ref="J423:J424"/>
    <mergeCell ref="J430:J432"/>
    <mergeCell ref="J433:J435"/>
    <mergeCell ref="J436:J438"/>
    <mergeCell ref="J439:J441"/>
    <mergeCell ref="J452:J454"/>
    <mergeCell ref="J479:J481"/>
    <mergeCell ref="J487:J488"/>
    <mergeCell ref="J384:J385"/>
    <mergeCell ref="J386:J387"/>
    <mergeCell ref="J388:J389"/>
    <mergeCell ref="J394:J395"/>
    <mergeCell ref="J398:J400"/>
    <mergeCell ref="J402:J404"/>
    <mergeCell ref="J405:J407"/>
    <mergeCell ref="J414:J416"/>
    <mergeCell ref="J417:J419"/>
    <mergeCell ref="J334:J335"/>
    <mergeCell ref="J362:J363"/>
    <mergeCell ref="J364:J365"/>
    <mergeCell ref="J366:J367"/>
    <mergeCell ref="J368:J369"/>
    <mergeCell ref="J370:J371"/>
    <mergeCell ref="J372:J373"/>
    <mergeCell ref="J374:J375"/>
    <mergeCell ref="J376:J377"/>
    <mergeCell ref="I436:I438"/>
    <mergeCell ref="I439:I441"/>
    <mergeCell ref="I452:I454"/>
    <mergeCell ref="I479:I481"/>
    <mergeCell ref="I487:I488"/>
    <mergeCell ref="J193:J194"/>
    <mergeCell ref="J211:J212"/>
    <mergeCell ref="J213:J214"/>
    <mergeCell ref="J215:J216"/>
    <mergeCell ref="J233:J234"/>
    <mergeCell ref="J253:J254"/>
    <mergeCell ref="J266:J267"/>
    <mergeCell ref="J284:J285"/>
    <mergeCell ref="J286:J287"/>
    <mergeCell ref="J305:J306"/>
    <mergeCell ref="J307:J308"/>
    <mergeCell ref="J309:J310"/>
    <mergeCell ref="J311:J312"/>
    <mergeCell ref="J313:J314"/>
    <mergeCell ref="J315:J316"/>
    <mergeCell ref="J317:J318"/>
    <mergeCell ref="J319:J320"/>
    <mergeCell ref="J321:J322"/>
    <mergeCell ref="J331:J332"/>
    <mergeCell ref="I398:I400"/>
    <mergeCell ref="I402:I404"/>
    <mergeCell ref="I405:I407"/>
    <mergeCell ref="I414:I416"/>
    <mergeCell ref="I417:I419"/>
    <mergeCell ref="I420:I422"/>
    <mergeCell ref="I423:I424"/>
    <mergeCell ref="I430:I432"/>
    <mergeCell ref="I433:I435"/>
    <mergeCell ref="I368:I369"/>
    <mergeCell ref="I370:I371"/>
    <mergeCell ref="I372:I373"/>
    <mergeCell ref="I374:I375"/>
    <mergeCell ref="I376:I377"/>
    <mergeCell ref="I384:I385"/>
    <mergeCell ref="I386:I387"/>
    <mergeCell ref="I388:I389"/>
    <mergeCell ref="I394:I395"/>
    <mergeCell ref="H487:H488"/>
    <mergeCell ref="I193:I194"/>
    <mergeCell ref="I211:I212"/>
    <mergeCell ref="I213:I214"/>
    <mergeCell ref="I215:I216"/>
    <mergeCell ref="I233:I234"/>
    <mergeCell ref="I253:I254"/>
    <mergeCell ref="I266:I267"/>
    <mergeCell ref="I284:I285"/>
    <mergeCell ref="I286:I287"/>
    <mergeCell ref="I305:I306"/>
    <mergeCell ref="I307:I308"/>
    <mergeCell ref="I309:I310"/>
    <mergeCell ref="I311:I312"/>
    <mergeCell ref="I313:I314"/>
    <mergeCell ref="I315:I316"/>
    <mergeCell ref="I317:I318"/>
    <mergeCell ref="I319:I320"/>
    <mergeCell ref="I321:I322"/>
    <mergeCell ref="I331:I332"/>
    <mergeCell ref="I334:I335"/>
    <mergeCell ref="I362:I363"/>
    <mergeCell ref="I364:I365"/>
    <mergeCell ref="I366:I367"/>
    <mergeCell ref="H414:H416"/>
    <mergeCell ref="H417:H419"/>
    <mergeCell ref="H420:H422"/>
    <mergeCell ref="H430:H432"/>
    <mergeCell ref="H433:H435"/>
    <mergeCell ref="H436:H438"/>
    <mergeCell ref="H439:H441"/>
    <mergeCell ref="H452:H454"/>
    <mergeCell ref="H479:H481"/>
    <mergeCell ref="G475:G476"/>
    <mergeCell ref="G479:G481"/>
    <mergeCell ref="G487:G488"/>
    <mergeCell ref="H193:H194"/>
    <mergeCell ref="H211:H212"/>
    <mergeCell ref="H213:H214"/>
    <mergeCell ref="H215:H216"/>
    <mergeCell ref="H233:H234"/>
    <mergeCell ref="H253:H254"/>
    <mergeCell ref="H266:H267"/>
    <mergeCell ref="H284:H285"/>
    <mergeCell ref="H286:H287"/>
    <mergeCell ref="H305:H306"/>
    <mergeCell ref="H307:H308"/>
    <mergeCell ref="H309:H310"/>
    <mergeCell ref="H311:H312"/>
    <mergeCell ref="H313:H314"/>
    <mergeCell ref="H315:H316"/>
    <mergeCell ref="H317:H318"/>
    <mergeCell ref="H319:H320"/>
    <mergeCell ref="H321:H322"/>
    <mergeCell ref="H334:H335"/>
    <mergeCell ref="H394:H395"/>
    <mergeCell ref="H398:H400"/>
    <mergeCell ref="G417:G419"/>
    <mergeCell ref="G420:G422"/>
    <mergeCell ref="G423:G424"/>
    <mergeCell ref="G430:G432"/>
    <mergeCell ref="G433:G435"/>
    <mergeCell ref="G436:G438"/>
    <mergeCell ref="G439:G441"/>
    <mergeCell ref="G447:G448"/>
    <mergeCell ref="G452:G454"/>
    <mergeCell ref="G384:G385"/>
    <mergeCell ref="G386:G387"/>
    <mergeCell ref="G388:G389"/>
    <mergeCell ref="G394:G395"/>
    <mergeCell ref="G398:G400"/>
    <mergeCell ref="G402:G404"/>
    <mergeCell ref="G405:G407"/>
    <mergeCell ref="G412:G413"/>
    <mergeCell ref="G414:G416"/>
    <mergeCell ref="G362:G363"/>
    <mergeCell ref="G364:G365"/>
    <mergeCell ref="G366:G367"/>
    <mergeCell ref="G368:G369"/>
    <mergeCell ref="G370:G371"/>
    <mergeCell ref="G372:G373"/>
    <mergeCell ref="G374:G375"/>
    <mergeCell ref="G376:G377"/>
    <mergeCell ref="G382:G383"/>
    <mergeCell ref="G313:G314"/>
    <mergeCell ref="G315:G316"/>
    <mergeCell ref="G317:G318"/>
    <mergeCell ref="G319:G320"/>
    <mergeCell ref="G321:G322"/>
    <mergeCell ref="G328:G329"/>
    <mergeCell ref="G331:G332"/>
    <mergeCell ref="G334:G335"/>
    <mergeCell ref="G354:G355"/>
    <mergeCell ref="G266:G267"/>
    <mergeCell ref="G275:G276"/>
    <mergeCell ref="G284:G285"/>
    <mergeCell ref="G286:G287"/>
    <mergeCell ref="G300:G301"/>
    <mergeCell ref="G305:G306"/>
    <mergeCell ref="G307:G308"/>
    <mergeCell ref="G309:G310"/>
    <mergeCell ref="G311:G312"/>
    <mergeCell ref="F430:F432"/>
    <mergeCell ref="F433:F435"/>
    <mergeCell ref="F436:F438"/>
    <mergeCell ref="F439:F441"/>
    <mergeCell ref="F447:F448"/>
    <mergeCell ref="F452:F454"/>
    <mergeCell ref="F475:F476"/>
    <mergeCell ref="F479:F481"/>
    <mergeCell ref="F487:F488"/>
    <mergeCell ref="F394:F395"/>
    <mergeCell ref="F398:F400"/>
    <mergeCell ref="F402:F404"/>
    <mergeCell ref="F405:F407"/>
    <mergeCell ref="F412:F413"/>
    <mergeCell ref="F414:F416"/>
    <mergeCell ref="F417:F419"/>
    <mergeCell ref="F420:F422"/>
    <mergeCell ref="F423:F424"/>
    <mergeCell ref="F328:F329"/>
    <mergeCell ref="F331:F332"/>
    <mergeCell ref="F334:F335"/>
    <mergeCell ref="F354:F355"/>
    <mergeCell ref="F362:F363"/>
    <mergeCell ref="F364:F365"/>
    <mergeCell ref="F366:F367"/>
    <mergeCell ref="F368:F369"/>
    <mergeCell ref="F370:F371"/>
    <mergeCell ref="F305:F306"/>
    <mergeCell ref="F307:F308"/>
    <mergeCell ref="F309:F310"/>
    <mergeCell ref="F311:F312"/>
    <mergeCell ref="F313:F314"/>
    <mergeCell ref="F315:F316"/>
    <mergeCell ref="F317:F318"/>
    <mergeCell ref="F319:F320"/>
    <mergeCell ref="F321:F322"/>
    <mergeCell ref="E433:E435"/>
    <mergeCell ref="E436:E438"/>
    <mergeCell ref="E439:E441"/>
    <mergeCell ref="E452:E454"/>
    <mergeCell ref="E479:E481"/>
    <mergeCell ref="E487:E488"/>
    <mergeCell ref="F5:F6"/>
    <mergeCell ref="F100:F101"/>
    <mergeCell ref="F124:F125"/>
    <mergeCell ref="F149:F150"/>
    <mergeCell ref="F174:F175"/>
    <mergeCell ref="F193:F194"/>
    <mergeCell ref="F199:F200"/>
    <mergeCell ref="F211:F212"/>
    <mergeCell ref="F213:F214"/>
    <mergeCell ref="F215:F216"/>
    <mergeCell ref="F225:F226"/>
    <mergeCell ref="F233:F234"/>
    <mergeCell ref="F250:F251"/>
    <mergeCell ref="F253:F254"/>
    <mergeCell ref="F266:F267"/>
    <mergeCell ref="F275:F276"/>
    <mergeCell ref="F284:F285"/>
    <mergeCell ref="F286:F287"/>
    <mergeCell ref="E394:E395"/>
    <mergeCell ref="E398:E400"/>
    <mergeCell ref="E402:E404"/>
    <mergeCell ref="E405:E407"/>
    <mergeCell ref="E414:E416"/>
    <mergeCell ref="E417:E419"/>
    <mergeCell ref="E420:E422"/>
    <mergeCell ref="E423:E424"/>
    <mergeCell ref="E430:E432"/>
    <mergeCell ref="E334:E335"/>
    <mergeCell ref="E362:E363"/>
    <mergeCell ref="E364:E365"/>
    <mergeCell ref="E366:E367"/>
    <mergeCell ref="E368:E369"/>
    <mergeCell ref="E370:E371"/>
    <mergeCell ref="E372:E373"/>
    <mergeCell ref="E374:E375"/>
    <mergeCell ref="E376:E377"/>
    <mergeCell ref="E266:E267"/>
    <mergeCell ref="E284:E285"/>
    <mergeCell ref="E286:E287"/>
    <mergeCell ref="E305:E306"/>
    <mergeCell ref="E307:E308"/>
    <mergeCell ref="E309:E310"/>
    <mergeCell ref="E311:E312"/>
    <mergeCell ref="E313:E314"/>
    <mergeCell ref="E315:E316"/>
    <mergeCell ref="D430:D432"/>
    <mergeCell ref="D433:D435"/>
    <mergeCell ref="D436:D438"/>
    <mergeCell ref="D439:D441"/>
    <mergeCell ref="D447:D448"/>
    <mergeCell ref="D452:D454"/>
    <mergeCell ref="D475:D476"/>
    <mergeCell ref="D479:D481"/>
    <mergeCell ref="D487:D488"/>
    <mergeCell ref="D394:D395"/>
    <mergeCell ref="D398:D400"/>
    <mergeCell ref="D402:D404"/>
    <mergeCell ref="D405:D407"/>
    <mergeCell ref="D412:D413"/>
    <mergeCell ref="D414:D416"/>
    <mergeCell ref="D417:D419"/>
    <mergeCell ref="D420:D422"/>
    <mergeCell ref="D423:D424"/>
    <mergeCell ref="D334:D335"/>
    <mergeCell ref="D354:D355"/>
    <mergeCell ref="D362:D363"/>
    <mergeCell ref="D364:D365"/>
    <mergeCell ref="D366:D367"/>
    <mergeCell ref="D368:D369"/>
    <mergeCell ref="D370:D371"/>
    <mergeCell ref="D372:D373"/>
    <mergeCell ref="D374:D375"/>
    <mergeCell ref="C433:C435"/>
    <mergeCell ref="C436:C438"/>
    <mergeCell ref="C439:C441"/>
    <mergeCell ref="C452:C454"/>
    <mergeCell ref="C479:C481"/>
    <mergeCell ref="C487:C488"/>
    <mergeCell ref="D5:D6"/>
    <mergeCell ref="D100:D101"/>
    <mergeCell ref="D124:D125"/>
    <mergeCell ref="D149:D150"/>
    <mergeCell ref="D174:D175"/>
    <mergeCell ref="D193:D194"/>
    <mergeCell ref="D199:D200"/>
    <mergeCell ref="D211:D212"/>
    <mergeCell ref="D213:D214"/>
    <mergeCell ref="D215:D216"/>
    <mergeCell ref="D225:D226"/>
    <mergeCell ref="D233:D234"/>
    <mergeCell ref="D250:D251"/>
    <mergeCell ref="D253:D254"/>
    <mergeCell ref="D266:D267"/>
    <mergeCell ref="D275:D276"/>
    <mergeCell ref="D284:D285"/>
    <mergeCell ref="D286:D287"/>
    <mergeCell ref="C388:C389"/>
    <mergeCell ref="C394:C395"/>
    <mergeCell ref="C398:C400"/>
    <mergeCell ref="C402:C404"/>
    <mergeCell ref="C405:C407"/>
    <mergeCell ref="C414:C416"/>
    <mergeCell ref="C417:C419"/>
    <mergeCell ref="C423:C424"/>
    <mergeCell ref="C430:C432"/>
    <mergeCell ref="C364:C365"/>
    <mergeCell ref="C366:C367"/>
    <mergeCell ref="C368:C369"/>
    <mergeCell ref="C370:C371"/>
    <mergeCell ref="C372:C373"/>
    <mergeCell ref="C374:C375"/>
    <mergeCell ref="C376:C377"/>
    <mergeCell ref="C384:C385"/>
    <mergeCell ref="C386:C387"/>
    <mergeCell ref="B452:B454"/>
    <mergeCell ref="B479:B481"/>
    <mergeCell ref="B487:B488"/>
    <mergeCell ref="C193:C194"/>
    <mergeCell ref="C211:C212"/>
    <mergeCell ref="C213:C214"/>
    <mergeCell ref="C215:C216"/>
    <mergeCell ref="C233:C234"/>
    <mergeCell ref="C253:C254"/>
    <mergeCell ref="C266:C267"/>
    <mergeCell ref="C284:C285"/>
    <mergeCell ref="C286:C287"/>
    <mergeCell ref="C305:C306"/>
    <mergeCell ref="C307:C308"/>
    <mergeCell ref="C309:C310"/>
    <mergeCell ref="C311:C312"/>
    <mergeCell ref="C313:C314"/>
    <mergeCell ref="C315:C316"/>
    <mergeCell ref="C317:C318"/>
    <mergeCell ref="C319:C320"/>
    <mergeCell ref="C321:C322"/>
    <mergeCell ref="C331:C332"/>
    <mergeCell ref="C334:C335"/>
    <mergeCell ref="C362:C363"/>
    <mergeCell ref="K485:L485"/>
    <mergeCell ref="K486:L486"/>
    <mergeCell ref="B213:B214"/>
    <mergeCell ref="B215:B216"/>
    <mergeCell ref="B334:B335"/>
    <mergeCell ref="B362:B363"/>
    <mergeCell ref="B364:B365"/>
    <mergeCell ref="B366:B367"/>
    <mergeCell ref="B372:B373"/>
    <mergeCell ref="B384:B385"/>
    <mergeCell ref="B386:B387"/>
    <mergeCell ref="B388:B389"/>
    <mergeCell ref="B394:B395"/>
    <mergeCell ref="B398:B400"/>
    <mergeCell ref="B402:B404"/>
    <mergeCell ref="B405:B407"/>
    <mergeCell ref="B414:B416"/>
    <mergeCell ref="B417:B419"/>
    <mergeCell ref="B420:B422"/>
    <mergeCell ref="B423:B424"/>
    <mergeCell ref="B430:B432"/>
    <mergeCell ref="B433:B435"/>
    <mergeCell ref="B436:B438"/>
    <mergeCell ref="B439:B441"/>
    <mergeCell ref="H475:I475"/>
    <mergeCell ref="H476:I476"/>
    <mergeCell ref="K477:L477"/>
    <mergeCell ref="K478:L478"/>
    <mergeCell ref="K479:L479"/>
    <mergeCell ref="K480:L480"/>
    <mergeCell ref="K481:L481"/>
    <mergeCell ref="K483:L483"/>
    <mergeCell ref="K484:L484"/>
    <mergeCell ref="K463:L463"/>
    <mergeCell ref="K464:L464"/>
    <mergeCell ref="K465:L465"/>
    <mergeCell ref="K466:L466"/>
    <mergeCell ref="K467:L467"/>
    <mergeCell ref="K469:L469"/>
    <mergeCell ref="K470:L470"/>
    <mergeCell ref="D474:G474"/>
    <mergeCell ref="H474:J474"/>
    <mergeCell ref="K454:L454"/>
    <mergeCell ref="K455:L455"/>
    <mergeCell ref="K456:L456"/>
    <mergeCell ref="K457:L457"/>
    <mergeCell ref="K458:L458"/>
    <mergeCell ref="K459:L459"/>
    <mergeCell ref="K460:L460"/>
    <mergeCell ref="K461:L461"/>
    <mergeCell ref="K462:L462"/>
    <mergeCell ref="D446:G446"/>
    <mergeCell ref="H446:J446"/>
    <mergeCell ref="H447:I447"/>
    <mergeCell ref="H448:I448"/>
    <mergeCell ref="K449:L449"/>
    <mergeCell ref="K450:L450"/>
    <mergeCell ref="K451:L451"/>
    <mergeCell ref="K452:L452"/>
    <mergeCell ref="K453:L453"/>
    <mergeCell ref="K434:L434"/>
    <mergeCell ref="K435:L435"/>
    <mergeCell ref="K436:L436"/>
    <mergeCell ref="K437:L437"/>
    <mergeCell ref="K438:L438"/>
    <mergeCell ref="K439:L439"/>
    <mergeCell ref="K440:L440"/>
    <mergeCell ref="K441:L441"/>
    <mergeCell ref="K442:L442"/>
    <mergeCell ref="K425:L425"/>
    <mergeCell ref="K426:L426"/>
    <mergeCell ref="K427:L427"/>
    <mergeCell ref="K428:L428"/>
    <mergeCell ref="K429:L429"/>
    <mergeCell ref="K430:L430"/>
    <mergeCell ref="K431:L431"/>
    <mergeCell ref="K432:L432"/>
    <mergeCell ref="K433:L433"/>
    <mergeCell ref="K414:L414"/>
    <mergeCell ref="K415:L415"/>
    <mergeCell ref="K416:L416"/>
    <mergeCell ref="K417:L417"/>
    <mergeCell ref="K418:L418"/>
    <mergeCell ref="K419:L419"/>
    <mergeCell ref="K420:L420"/>
    <mergeCell ref="K421:L421"/>
    <mergeCell ref="K422:L422"/>
    <mergeCell ref="K403:L403"/>
    <mergeCell ref="K404:L404"/>
    <mergeCell ref="K405:L405"/>
    <mergeCell ref="K406:L406"/>
    <mergeCell ref="K407:L407"/>
    <mergeCell ref="D411:G411"/>
    <mergeCell ref="H411:J411"/>
    <mergeCell ref="H412:I412"/>
    <mergeCell ref="H413:I413"/>
    <mergeCell ref="H402:H404"/>
    <mergeCell ref="H405:H407"/>
    <mergeCell ref="K394:L394"/>
    <mergeCell ref="K395:L395"/>
    <mergeCell ref="K396:L396"/>
    <mergeCell ref="K397:L397"/>
    <mergeCell ref="K398:L398"/>
    <mergeCell ref="K399:L399"/>
    <mergeCell ref="K400:L400"/>
    <mergeCell ref="K401:L401"/>
    <mergeCell ref="K402:L402"/>
    <mergeCell ref="K363:L363"/>
    <mergeCell ref="D381:G381"/>
    <mergeCell ref="H381:J381"/>
    <mergeCell ref="H382:I382"/>
    <mergeCell ref="H383:I383"/>
    <mergeCell ref="K390:L390"/>
    <mergeCell ref="K391:L391"/>
    <mergeCell ref="K392:L392"/>
    <mergeCell ref="K393:L393"/>
    <mergeCell ref="D376:D377"/>
    <mergeCell ref="D382:D383"/>
    <mergeCell ref="D384:D385"/>
    <mergeCell ref="D386:D387"/>
    <mergeCell ref="D388:D389"/>
    <mergeCell ref="E384:E385"/>
    <mergeCell ref="E386:E387"/>
    <mergeCell ref="E388:E389"/>
    <mergeCell ref="F372:F373"/>
    <mergeCell ref="F374:F375"/>
    <mergeCell ref="F376:F377"/>
    <mergeCell ref="F382:F383"/>
    <mergeCell ref="F384:F385"/>
    <mergeCell ref="F386:F387"/>
    <mergeCell ref="F388:F389"/>
    <mergeCell ref="H354:I354"/>
    <mergeCell ref="H355:I355"/>
    <mergeCell ref="K356:L356"/>
    <mergeCell ref="K357:L357"/>
    <mergeCell ref="K358:L358"/>
    <mergeCell ref="K359:L359"/>
    <mergeCell ref="K360:L360"/>
    <mergeCell ref="K361:L361"/>
    <mergeCell ref="K362:L362"/>
    <mergeCell ref="K343:L343"/>
    <mergeCell ref="K344:L344"/>
    <mergeCell ref="K345:L345"/>
    <mergeCell ref="K346:L346"/>
    <mergeCell ref="K347:L347"/>
    <mergeCell ref="K348:L348"/>
    <mergeCell ref="K349:L349"/>
    <mergeCell ref="D353:G353"/>
    <mergeCell ref="H353:J353"/>
    <mergeCell ref="K334:L334"/>
    <mergeCell ref="K335:L335"/>
    <mergeCell ref="K336:L336"/>
    <mergeCell ref="K337:L337"/>
    <mergeCell ref="K338:L338"/>
    <mergeCell ref="K339:L339"/>
    <mergeCell ref="K340:L340"/>
    <mergeCell ref="K341:L341"/>
    <mergeCell ref="K342:L342"/>
    <mergeCell ref="K303:L303"/>
    <mergeCell ref="K304:L304"/>
    <mergeCell ref="K323:L323"/>
    <mergeCell ref="D327:G327"/>
    <mergeCell ref="H327:J327"/>
    <mergeCell ref="H328:I328"/>
    <mergeCell ref="H329:I329"/>
    <mergeCell ref="K330:L330"/>
    <mergeCell ref="K333:L333"/>
    <mergeCell ref="D305:D306"/>
    <mergeCell ref="D307:D308"/>
    <mergeCell ref="D309:D310"/>
    <mergeCell ref="D311:D312"/>
    <mergeCell ref="D313:D314"/>
    <mergeCell ref="D315:D316"/>
    <mergeCell ref="D317:D318"/>
    <mergeCell ref="D319:D320"/>
    <mergeCell ref="D321:D322"/>
    <mergeCell ref="D328:D329"/>
    <mergeCell ref="D331:D332"/>
    <mergeCell ref="E317:E318"/>
    <mergeCell ref="E319:E320"/>
    <mergeCell ref="E321:E322"/>
    <mergeCell ref="E331:E332"/>
    <mergeCell ref="K292:L292"/>
    <mergeCell ref="K293:L293"/>
    <mergeCell ref="K294:L294"/>
    <mergeCell ref="K295:L295"/>
    <mergeCell ref="D299:G299"/>
    <mergeCell ref="H299:J299"/>
    <mergeCell ref="H300:I300"/>
    <mergeCell ref="H301:I301"/>
    <mergeCell ref="K302:L302"/>
    <mergeCell ref="D300:D301"/>
    <mergeCell ref="F300:F301"/>
    <mergeCell ref="K268:L268"/>
    <mergeCell ref="D274:G274"/>
    <mergeCell ref="H274:J274"/>
    <mergeCell ref="H275:I275"/>
    <mergeCell ref="H276:I276"/>
    <mergeCell ref="K288:L288"/>
    <mergeCell ref="K289:L289"/>
    <mergeCell ref="K290:L290"/>
    <mergeCell ref="K291:L291"/>
    <mergeCell ref="H225:I225"/>
    <mergeCell ref="H226:I226"/>
    <mergeCell ref="K235:L235"/>
    <mergeCell ref="D249:G249"/>
    <mergeCell ref="H249:J249"/>
    <mergeCell ref="H250:I250"/>
    <mergeCell ref="H251:I251"/>
    <mergeCell ref="K255:L255"/>
    <mergeCell ref="K256:L256"/>
    <mergeCell ref="E233:E234"/>
    <mergeCell ref="E253:E254"/>
    <mergeCell ref="G225:G226"/>
    <mergeCell ref="G233:G234"/>
    <mergeCell ref="G250:G251"/>
    <mergeCell ref="G253:G254"/>
    <mergeCell ref="K233:K234"/>
    <mergeCell ref="K253:K254"/>
    <mergeCell ref="H199:I199"/>
    <mergeCell ref="H200:I200"/>
    <mergeCell ref="K201:L201"/>
    <mergeCell ref="K213:L213"/>
    <mergeCell ref="K214:L214"/>
    <mergeCell ref="K215:L215"/>
    <mergeCell ref="K216:L216"/>
    <mergeCell ref="K217:L217"/>
    <mergeCell ref="D224:G224"/>
    <mergeCell ref="H224:J224"/>
    <mergeCell ref="E211:E212"/>
    <mergeCell ref="E213:E214"/>
    <mergeCell ref="E215:E216"/>
    <mergeCell ref="G199:G200"/>
    <mergeCell ref="G211:G212"/>
    <mergeCell ref="G213:G214"/>
    <mergeCell ref="G215:G216"/>
    <mergeCell ref="K211:K212"/>
    <mergeCell ref="H150:I150"/>
    <mergeCell ref="K155:L155"/>
    <mergeCell ref="K166:L166"/>
    <mergeCell ref="D173:G173"/>
    <mergeCell ref="H173:J173"/>
    <mergeCell ref="H174:I174"/>
    <mergeCell ref="H175:I175"/>
    <mergeCell ref="K183:L183"/>
    <mergeCell ref="D198:G198"/>
    <mergeCell ref="H198:J198"/>
    <mergeCell ref="E193:E194"/>
    <mergeCell ref="G149:G150"/>
    <mergeCell ref="G174:G175"/>
    <mergeCell ref="G193:G194"/>
    <mergeCell ref="K193:K194"/>
    <mergeCell ref="D123:G123"/>
    <mergeCell ref="H123:J123"/>
    <mergeCell ref="H124:I124"/>
    <mergeCell ref="H125:I125"/>
    <mergeCell ref="K127:L127"/>
    <mergeCell ref="K138:L138"/>
    <mergeCell ref="D148:G148"/>
    <mergeCell ref="H148:J148"/>
    <mergeCell ref="H149:I149"/>
    <mergeCell ref="G124:G125"/>
    <mergeCell ref="K58:L58"/>
    <mergeCell ref="K60:L60"/>
    <mergeCell ref="K82:L82"/>
    <mergeCell ref="K93:L93"/>
    <mergeCell ref="D99:G99"/>
    <mergeCell ref="H99:J99"/>
    <mergeCell ref="H100:I100"/>
    <mergeCell ref="H101:I101"/>
    <mergeCell ref="K110:L110"/>
    <mergeCell ref="G100:G101"/>
    <mergeCell ref="D4:G4"/>
    <mergeCell ref="H4:J4"/>
    <mergeCell ref="H5:I5"/>
    <mergeCell ref="H6:I6"/>
    <mergeCell ref="H7:J7"/>
    <mergeCell ref="K20:L20"/>
    <mergeCell ref="K31:L31"/>
    <mergeCell ref="K42:L42"/>
    <mergeCell ref="K50:L50"/>
    <mergeCell ref="G5:G6"/>
  </mergeCells>
  <pageMargins left="0.69930555555555596" right="0.69930555555555596"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4:K154"/>
  <sheetViews>
    <sheetView workbookViewId="0">
      <selection sqref="A1:Q1"/>
    </sheetView>
  </sheetViews>
  <sheetFormatPr defaultColWidth="9" defaultRowHeight="14.4"/>
  <cols>
    <col min="1" max="1" width="1.21875" customWidth="1"/>
    <col min="2" max="2" width="8.77734375" style="28"/>
    <col min="3" max="3" width="39.21875" style="28" customWidth="1"/>
    <col min="4" max="4" width="12.21875" style="28" customWidth="1"/>
    <col min="5" max="5" width="18" style="28" customWidth="1"/>
    <col min="6" max="6" width="13.44140625" style="29" customWidth="1"/>
    <col min="7" max="7" width="12.5546875" style="29" customWidth="1"/>
    <col min="8" max="8" width="11.33203125" customWidth="1"/>
    <col min="9" max="9" width="10.21875" customWidth="1"/>
    <col min="10" max="10" width="9.44140625" customWidth="1"/>
    <col min="11" max="11" width="25.109375" customWidth="1"/>
  </cols>
  <sheetData>
    <row r="4" spans="2:11">
      <c r="B4" s="1286" t="s">
        <v>1876</v>
      </c>
      <c r="C4" s="1286" t="s">
        <v>868</v>
      </c>
      <c r="D4" s="1277" t="s">
        <v>1877</v>
      </c>
      <c r="E4" s="1278"/>
      <c r="F4" s="1278"/>
      <c r="G4" s="1279"/>
      <c r="H4" s="1280" t="s">
        <v>870</v>
      </c>
      <c r="I4" s="1281"/>
      <c r="J4" s="1282"/>
      <c r="K4" s="1286" t="s">
        <v>1878</v>
      </c>
    </row>
    <row r="5" spans="2:11">
      <c r="B5" s="1287"/>
      <c r="C5" s="1287"/>
      <c r="D5" s="31" t="s">
        <v>259</v>
      </c>
      <c r="E5" s="31" t="s">
        <v>873</v>
      </c>
      <c r="F5" s="32" t="s">
        <v>1879</v>
      </c>
      <c r="G5" s="32" t="s">
        <v>1880</v>
      </c>
      <c r="H5" s="1277" t="s">
        <v>876</v>
      </c>
      <c r="I5" s="1279"/>
      <c r="J5" s="31" t="s">
        <v>877</v>
      </c>
      <c r="K5" s="1287"/>
    </row>
    <row r="6" spans="2:11">
      <c r="B6" s="30" t="s">
        <v>878</v>
      </c>
      <c r="C6" s="31" t="s">
        <v>879</v>
      </c>
      <c r="D6" s="32">
        <v>301279.78000000003</v>
      </c>
      <c r="E6" s="32">
        <v>65920.710000000006</v>
      </c>
      <c r="F6" s="32">
        <v>100</v>
      </c>
      <c r="G6" s="32">
        <v>367300.49</v>
      </c>
      <c r="H6" s="1283"/>
      <c r="I6" s="1284"/>
      <c r="J6" s="1285"/>
      <c r="K6" s="31" t="s">
        <v>1881</v>
      </c>
    </row>
    <row r="7" spans="2:11">
      <c r="B7" s="33">
        <v>1</v>
      </c>
      <c r="C7" s="31" t="s">
        <v>881</v>
      </c>
      <c r="D7" s="32">
        <v>46384.2</v>
      </c>
      <c r="E7" s="32">
        <v>0</v>
      </c>
      <c r="F7" s="32">
        <v>0</v>
      </c>
      <c r="G7" s="32">
        <v>46384.2</v>
      </c>
      <c r="H7" s="32"/>
      <c r="I7" s="32"/>
      <c r="J7" s="32"/>
      <c r="K7" s="32"/>
    </row>
    <row r="8" spans="2:11">
      <c r="B8" s="34">
        <v>1.1000000000000001</v>
      </c>
      <c r="C8" s="35" t="s">
        <v>1882</v>
      </c>
      <c r="D8" s="36">
        <v>10710.7</v>
      </c>
      <c r="E8" s="36"/>
      <c r="F8" s="36"/>
      <c r="G8" s="36">
        <v>10710.7</v>
      </c>
      <c r="H8" s="36">
        <v>19474</v>
      </c>
      <c r="I8" s="35" t="s">
        <v>883</v>
      </c>
      <c r="J8" s="36">
        <v>0.55000000000000004</v>
      </c>
      <c r="K8" s="32"/>
    </row>
    <row r="9" spans="2:11">
      <c r="B9" s="34">
        <v>1.2</v>
      </c>
      <c r="C9" s="35" t="s">
        <v>1883</v>
      </c>
      <c r="D9" s="36">
        <v>10710.7</v>
      </c>
      <c r="E9" s="36"/>
      <c r="F9" s="36"/>
      <c r="G9" s="36">
        <v>10710.7</v>
      </c>
      <c r="H9" s="36">
        <v>19474</v>
      </c>
      <c r="I9" s="35" t="s">
        <v>883</v>
      </c>
      <c r="J9" s="36">
        <v>0.55000000000000004</v>
      </c>
      <c r="K9" s="36"/>
    </row>
    <row r="10" spans="2:11">
      <c r="B10" s="34">
        <v>1.3</v>
      </c>
      <c r="C10" s="35" t="s">
        <v>1884</v>
      </c>
      <c r="D10" s="36">
        <v>22699</v>
      </c>
      <c r="E10" s="36"/>
      <c r="F10" s="36"/>
      <c r="G10" s="36">
        <v>22699</v>
      </c>
      <c r="H10" s="36">
        <v>45398</v>
      </c>
      <c r="I10" s="35" t="s">
        <v>883</v>
      </c>
      <c r="J10" s="36">
        <v>0.5</v>
      </c>
      <c r="K10" s="36"/>
    </row>
    <row r="11" spans="2:11">
      <c r="B11" s="34">
        <v>1.4</v>
      </c>
      <c r="C11" s="37" t="s">
        <v>1885</v>
      </c>
      <c r="D11" s="36">
        <v>1200</v>
      </c>
      <c r="E11" s="36"/>
      <c r="F11" s="36"/>
      <c r="G11" s="36">
        <v>1200</v>
      </c>
      <c r="H11" s="36">
        <v>8</v>
      </c>
      <c r="I11" s="35" t="s">
        <v>1886</v>
      </c>
      <c r="J11" s="36">
        <v>150</v>
      </c>
      <c r="K11" s="36"/>
    </row>
    <row r="12" spans="2:11">
      <c r="B12" s="34">
        <v>1.5</v>
      </c>
      <c r="C12" s="37" t="s">
        <v>1887</v>
      </c>
      <c r="D12" s="36">
        <v>600</v>
      </c>
      <c r="E12" s="36"/>
      <c r="F12" s="36"/>
      <c r="G12" s="36">
        <v>600</v>
      </c>
      <c r="H12" s="36">
        <v>4</v>
      </c>
      <c r="I12" s="35" t="s">
        <v>1886</v>
      </c>
      <c r="J12" s="36">
        <v>150</v>
      </c>
      <c r="K12" s="36"/>
    </row>
    <row r="13" spans="2:11">
      <c r="B13" s="34">
        <v>1.6</v>
      </c>
      <c r="C13" s="35" t="s">
        <v>946</v>
      </c>
      <c r="D13" s="36">
        <v>463.8</v>
      </c>
      <c r="E13" s="36"/>
      <c r="F13" s="36"/>
      <c r="G13" s="36">
        <v>463.8</v>
      </c>
      <c r="H13" s="36">
        <v>7730</v>
      </c>
      <c r="I13" s="35" t="s">
        <v>947</v>
      </c>
      <c r="J13" s="36">
        <v>0.06</v>
      </c>
      <c r="K13" s="36"/>
    </row>
    <row r="14" spans="2:11">
      <c r="B14" s="33">
        <v>2</v>
      </c>
      <c r="C14" s="31" t="s">
        <v>948</v>
      </c>
      <c r="D14" s="32">
        <v>91799.35</v>
      </c>
      <c r="E14" s="32">
        <v>0</v>
      </c>
      <c r="F14" s="32">
        <v>0</v>
      </c>
      <c r="G14" s="32">
        <v>91799.35</v>
      </c>
      <c r="H14" s="32"/>
      <c r="I14" s="32"/>
      <c r="J14" s="32"/>
      <c r="K14" s="32"/>
    </row>
    <row r="15" spans="2:11">
      <c r="B15" s="34">
        <v>2.1</v>
      </c>
      <c r="C15" s="35" t="s">
        <v>1888</v>
      </c>
      <c r="D15" s="36">
        <v>19612.5</v>
      </c>
      <c r="E15" s="36"/>
      <c r="F15" s="36"/>
      <c r="G15" s="36">
        <v>19612.5</v>
      </c>
      <c r="H15" s="36">
        <v>39225</v>
      </c>
      <c r="I15" s="35" t="s">
        <v>883</v>
      </c>
      <c r="J15" s="36">
        <v>0.5</v>
      </c>
      <c r="K15" s="36"/>
    </row>
    <row r="16" spans="2:11">
      <c r="B16" s="34">
        <v>2.2000000000000002</v>
      </c>
      <c r="C16" s="35" t="s">
        <v>1889</v>
      </c>
      <c r="D16" s="36">
        <v>11514.8</v>
      </c>
      <c r="E16" s="36"/>
      <c r="F16" s="36"/>
      <c r="G16" s="36">
        <v>11514.8</v>
      </c>
      <c r="H16" s="36">
        <v>20936</v>
      </c>
      <c r="I16" s="35" t="s">
        <v>883</v>
      </c>
      <c r="J16" s="36">
        <v>0.55000000000000004</v>
      </c>
      <c r="K16" s="36"/>
    </row>
    <row r="17" spans="2:11">
      <c r="B17" s="34">
        <v>2.2999999999999998</v>
      </c>
      <c r="C17" s="35" t="s">
        <v>1890</v>
      </c>
      <c r="D17" s="36">
        <v>2700</v>
      </c>
      <c r="E17" s="36"/>
      <c r="F17" s="36"/>
      <c r="G17" s="36">
        <v>2700</v>
      </c>
      <c r="H17" s="36">
        <v>4500</v>
      </c>
      <c r="I17" s="35" t="s">
        <v>883</v>
      </c>
      <c r="J17" s="36">
        <v>0.6</v>
      </c>
      <c r="K17" s="36"/>
    </row>
    <row r="18" spans="2:11">
      <c r="B18" s="34">
        <v>2.4</v>
      </c>
      <c r="C18" s="35" t="s">
        <v>1891</v>
      </c>
      <c r="D18" s="36">
        <v>9942</v>
      </c>
      <c r="E18" s="36"/>
      <c r="F18" s="36"/>
      <c r="G18" s="36">
        <v>9942</v>
      </c>
      <c r="H18" s="36">
        <v>19884</v>
      </c>
      <c r="I18" s="35" t="s">
        <v>883</v>
      </c>
      <c r="J18" s="36">
        <v>0.5</v>
      </c>
      <c r="K18" s="36"/>
    </row>
    <row r="19" spans="2:11">
      <c r="B19" s="34">
        <v>2.5</v>
      </c>
      <c r="C19" s="35" t="s">
        <v>1892</v>
      </c>
      <c r="D19" s="36">
        <v>9942</v>
      </c>
      <c r="E19" s="36"/>
      <c r="F19" s="36"/>
      <c r="G19" s="36">
        <v>9942</v>
      </c>
      <c r="H19" s="36">
        <v>19884</v>
      </c>
      <c r="I19" s="35" t="s">
        <v>883</v>
      </c>
      <c r="J19" s="36">
        <v>0.5</v>
      </c>
      <c r="K19" s="36"/>
    </row>
    <row r="20" spans="2:11">
      <c r="B20" s="34">
        <v>2.6</v>
      </c>
      <c r="C20" s="35" t="s">
        <v>1893</v>
      </c>
      <c r="D20" s="36">
        <v>6925.05</v>
      </c>
      <c r="E20" s="36"/>
      <c r="F20" s="36"/>
      <c r="G20" s="36">
        <v>6925.05</v>
      </c>
      <c r="H20" s="36">
        <v>12591</v>
      </c>
      <c r="I20" s="35" t="s">
        <v>883</v>
      </c>
      <c r="J20" s="36">
        <v>0.55000000000000004</v>
      </c>
      <c r="K20" s="36"/>
    </row>
    <row r="21" spans="2:11">
      <c r="B21" s="34">
        <v>2.7</v>
      </c>
      <c r="C21" s="35" t="s">
        <v>1894</v>
      </c>
      <c r="D21" s="36">
        <v>6925.05</v>
      </c>
      <c r="E21" s="36"/>
      <c r="F21" s="36"/>
      <c r="G21" s="36">
        <v>6925.05</v>
      </c>
      <c r="H21" s="36">
        <v>12591</v>
      </c>
      <c r="I21" s="35" t="s">
        <v>883</v>
      </c>
      <c r="J21" s="36">
        <v>0.55000000000000004</v>
      </c>
      <c r="K21" s="36"/>
    </row>
    <row r="22" spans="2:11">
      <c r="B22" s="34">
        <v>2.8</v>
      </c>
      <c r="C22" s="35" t="s">
        <v>1895</v>
      </c>
      <c r="D22" s="36">
        <v>5449.4</v>
      </c>
      <c r="E22" s="36"/>
      <c r="F22" s="36"/>
      <c r="G22" s="36">
        <v>5449.4</v>
      </c>
      <c r="H22" s="36">
        <v>9908</v>
      </c>
      <c r="I22" s="35" t="s">
        <v>883</v>
      </c>
      <c r="J22" s="36">
        <v>0.55000000000000004</v>
      </c>
      <c r="K22" s="36"/>
    </row>
    <row r="23" spans="2:11">
      <c r="B23" s="34">
        <v>2.9</v>
      </c>
      <c r="C23" s="35" t="s">
        <v>1896</v>
      </c>
      <c r="D23" s="36">
        <v>6262.85</v>
      </c>
      <c r="E23" s="36"/>
      <c r="F23" s="36"/>
      <c r="G23" s="36">
        <v>6262.85</v>
      </c>
      <c r="H23" s="36">
        <v>11387</v>
      </c>
      <c r="I23" s="35" t="s">
        <v>883</v>
      </c>
      <c r="J23" s="36">
        <v>0.55000000000000004</v>
      </c>
      <c r="K23" s="36"/>
    </row>
    <row r="24" spans="2:11">
      <c r="B24" s="34">
        <v>2.1</v>
      </c>
      <c r="C24" s="35" t="s">
        <v>1897</v>
      </c>
      <c r="D24" s="36">
        <v>6262.85</v>
      </c>
      <c r="E24" s="36"/>
      <c r="F24" s="36"/>
      <c r="G24" s="36">
        <v>6262.85</v>
      </c>
      <c r="H24" s="36">
        <v>11387</v>
      </c>
      <c r="I24" s="35" t="s">
        <v>883</v>
      </c>
      <c r="J24" s="36">
        <v>0.55000000000000004</v>
      </c>
      <c r="K24" s="36"/>
    </row>
    <row r="25" spans="2:11">
      <c r="B25" s="34">
        <v>2.11</v>
      </c>
      <c r="C25" s="35" t="s">
        <v>1898</v>
      </c>
      <c r="D25" s="36">
        <v>6262.85</v>
      </c>
      <c r="E25" s="36"/>
      <c r="F25" s="36"/>
      <c r="G25" s="36">
        <v>6262.85</v>
      </c>
      <c r="H25" s="36">
        <v>11387</v>
      </c>
      <c r="I25" s="35" t="s">
        <v>883</v>
      </c>
      <c r="J25" s="36">
        <v>0.55000000000000004</v>
      </c>
      <c r="K25" s="36"/>
    </row>
    <row r="26" spans="2:11">
      <c r="B26" s="33">
        <v>3</v>
      </c>
      <c r="C26" s="31" t="s">
        <v>342</v>
      </c>
      <c r="D26" s="32">
        <v>95141.25</v>
      </c>
      <c r="E26" s="32">
        <v>0</v>
      </c>
      <c r="F26" s="32">
        <v>0</v>
      </c>
      <c r="G26" s="32">
        <v>95141.25</v>
      </c>
      <c r="H26" s="38"/>
      <c r="I26" s="38"/>
      <c r="J26" s="38"/>
      <c r="K26" s="32"/>
    </row>
    <row r="27" spans="2:11">
      <c r="B27" s="34">
        <v>3.1</v>
      </c>
      <c r="C27" s="35" t="s">
        <v>1899</v>
      </c>
      <c r="D27" s="36">
        <v>58391.25</v>
      </c>
      <c r="E27" s="36"/>
      <c r="F27" s="36"/>
      <c r="G27" s="36">
        <v>58391.25</v>
      </c>
      <c r="H27" s="36"/>
      <c r="I27" s="35" t="s">
        <v>883</v>
      </c>
      <c r="J27" s="36"/>
      <c r="K27" s="36"/>
    </row>
    <row r="28" spans="2:11">
      <c r="B28" s="34" t="s">
        <v>356</v>
      </c>
      <c r="C28" s="35" t="s">
        <v>1018</v>
      </c>
      <c r="D28" s="36">
        <v>37391.25</v>
      </c>
      <c r="E28" s="36"/>
      <c r="F28" s="36"/>
      <c r="G28" s="36">
        <v>37391.25</v>
      </c>
      <c r="H28" s="36">
        <v>57525</v>
      </c>
      <c r="I28" s="35" t="s">
        <v>883</v>
      </c>
      <c r="J28" s="36">
        <v>0.65</v>
      </c>
      <c r="K28" s="36"/>
    </row>
    <row r="29" spans="2:11">
      <c r="B29" s="34" t="s">
        <v>357</v>
      </c>
      <c r="C29" s="35" t="s">
        <v>1030</v>
      </c>
      <c r="D29" s="36">
        <v>21000</v>
      </c>
      <c r="E29" s="36"/>
      <c r="F29" s="36"/>
      <c r="G29" s="36">
        <v>21000</v>
      </c>
      <c r="H29" s="36">
        <v>30000</v>
      </c>
      <c r="I29" s="35" t="s">
        <v>883</v>
      </c>
      <c r="J29" s="36">
        <v>0.7</v>
      </c>
      <c r="K29" s="36"/>
    </row>
    <row r="30" spans="2:11">
      <c r="B30" s="34">
        <v>3.2</v>
      </c>
      <c r="C30" s="35" t="s">
        <v>1900</v>
      </c>
      <c r="D30" s="36">
        <v>36750</v>
      </c>
      <c r="E30" s="36"/>
      <c r="F30" s="36"/>
      <c r="G30" s="36">
        <v>36750</v>
      </c>
      <c r="H30" s="36"/>
      <c r="I30" s="35" t="s">
        <v>883</v>
      </c>
      <c r="J30" s="36"/>
      <c r="K30" s="36"/>
    </row>
    <row r="31" spans="2:11">
      <c r="B31" s="34" t="s">
        <v>345</v>
      </c>
      <c r="C31" s="35" t="s">
        <v>1018</v>
      </c>
      <c r="D31" s="36">
        <v>22750</v>
      </c>
      <c r="E31" s="36"/>
      <c r="F31" s="36"/>
      <c r="G31" s="36">
        <v>22750</v>
      </c>
      <c r="H31" s="36">
        <v>35000</v>
      </c>
      <c r="I31" s="35" t="s">
        <v>883</v>
      </c>
      <c r="J31" s="36">
        <v>0.65</v>
      </c>
      <c r="K31" s="36"/>
    </row>
    <row r="32" spans="2:11">
      <c r="B32" s="34" t="s">
        <v>346</v>
      </c>
      <c r="C32" s="35" t="s">
        <v>1030</v>
      </c>
      <c r="D32" s="36">
        <v>14000</v>
      </c>
      <c r="E32" s="36"/>
      <c r="F32" s="36"/>
      <c r="G32" s="36">
        <v>14000</v>
      </c>
      <c r="H32" s="36">
        <v>20000</v>
      </c>
      <c r="I32" s="35" t="s">
        <v>883</v>
      </c>
      <c r="J32" s="36">
        <v>0.7</v>
      </c>
      <c r="K32" s="36"/>
    </row>
    <row r="33" spans="2:11">
      <c r="B33" s="33">
        <v>4</v>
      </c>
      <c r="C33" s="31" t="s">
        <v>1067</v>
      </c>
      <c r="D33" s="32">
        <v>0</v>
      </c>
      <c r="E33" s="32">
        <v>65920.710000000006</v>
      </c>
      <c r="F33" s="32">
        <v>0</v>
      </c>
      <c r="G33" s="32">
        <v>65920.710000000006</v>
      </c>
      <c r="H33" s="32"/>
      <c r="I33" s="32"/>
      <c r="J33" s="32"/>
      <c r="K33" s="32"/>
    </row>
    <row r="34" spans="2:11">
      <c r="B34" s="34">
        <v>4.0999999999999996</v>
      </c>
      <c r="C34" s="35" t="s">
        <v>1901</v>
      </c>
      <c r="D34" s="36"/>
      <c r="E34" s="36">
        <v>20815.71</v>
      </c>
      <c r="F34" s="36"/>
      <c r="G34" s="36">
        <v>20815.71</v>
      </c>
      <c r="H34" s="36"/>
      <c r="I34" s="36"/>
      <c r="J34" s="36"/>
      <c r="K34" s="36"/>
    </row>
    <row r="35" spans="2:11">
      <c r="B35" s="34">
        <v>4.2</v>
      </c>
      <c r="C35" s="35" t="s">
        <v>1902</v>
      </c>
      <c r="D35" s="36"/>
      <c r="E35" s="36">
        <v>25105</v>
      </c>
      <c r="F35" s="36"/>
      <c r="G35" s="36">
        <v>25105</v>
      </c>
      <c r="H35" s="36"/>
      <c r="I35" s="36"/>
      <c r="J35" s="36"/>
      <c r="K35" s="36"/>
    </row>
    <row r="36" spans="2:11">
      <c r="B36" s="34">
        <v>4.3</v>
      </c>
      <c r="C36" s="35" t="s">
        <v>1903</v>
      </c>
      <c r="D36" s="36"/>
      <c r="E36" s="36">
        <v>20000</v>
      </c>
      <c r="F36" s="36"/>
      <c r="G36" s="36">
        <v>20000</v>
      </c>
      <c r="H36" s="36"/>
      <c r="I36" s="36"/>
      <c r="J36" s="36"/>
      <c r="K36" s="36"/>
    </row>
    <row r="37" spans="2:11">
      <c r="B37" s="33">
        <v>5</v>
      </c>
      <c r="C37" s="31" t="s">
        <v>370</v>
      </c>
      <c r="D37" s="32">
        <v>67954.98</v>
      </c>
      <c r="E37" s="32">
        <v>0</v>
      </c>
      <c r="F37" s="32">
        <v>100</v>
      </c>
      <c r="G37" s="32">
        <v>68054.98</v>
      </c>
      <c r="H37" s="32"/>
      <c r="I37" s="32"/>
      <c r="J37" s="32"/>
      <c r="K37" s="32"/>
    </row>
    <row r="38" spans="2:11">
      <c r="B38" s="34">
        <v>5.0999999999999996</v>
      </c>
      <c r="C38" s="39" t="s">
        <v>1904</v>
      </c>
      <c r="D38" s="36">
        <v>8800</v>
      </c>
      <c r="E38" s="36"/>
      <c r="F38" s="36"/>
      <c r="G38" s="36">
        <v>8800</v>
      </c>
      <c r="H38" s="36">
        <v>11000</v>
      </c>
      <c r="I38" s="35" t="s">
        <v>883</v>
      </c>
      <c r="J38" s="36">
        <v>0.8</v>
      </c>
      <c r="K38" s="36"/>
    </row>
    <row r="39" spans="2:11">
      <c r="B39" s="34">
        <v>5.2</v>
      </c>
      <c r="C39" s="39" t="s">
        <v>1905</v>
      </c>
      <c r="D39" s="36">
        <v>8800</v>
      </c>
      <c r="E39" s="36"/>
      <c r="F39" s="36"/>
      <c r="G39" s="36">
        <v>8800</v>
      </c>
      <c r="H39" s="36">
        <v>11000</v>
      </c>
      <c r="I39" s="35" t="s">
        <v>883</v>
      </c>
      <c r="J39" s="36">
        <v>0.8</v>
      </c>
      <c r="K39" s="36"/>
    </row>
    <row r="40" spans="2:11">
      <c r="B40" s="34">
        <v>5.3</v>
      </c>
      <c r="C40" s="39" t="s">
        <v>1906</v>
      </c>
      <c r="D40" s="36">
        <v>4000</v>
      </c>
      <c r="E40" s="36"/>
      <c r="F40" s="36"/>
      <c r="G40" s="36">
        <v>4000</v>
      </c>
      <c r="H40" s="36">
        <v>5000</v>
      </c>
      <c r="I40" s="35" t="s">
        <v>883</v>
      </c>
      <c r="J40" s="36">
        <v>0.8</v>
      </c>
      <c r="K40" s="36"/>
    </row>
    <row r="41" spans="2:11">
      <c r="B41" s="34">
        <v>5.4</v>
      </c>
      <c r="C41" s="35" t="s">
        <v>1907</v>
      </c>
      <c r="D41" s="36">
        <v>3200</v>
      </c>
      <c r="E41" s="36"/>
      <c r="F41" s="36"/>
      <c r="G41" s="36">
        <v>3200</v>
      </c>
      <c r="H41" s="36">
        <v>4000</v>
      </c>
      <c r="I41" s="35" t="s">
        <v>883</v>
      </c>
      <c r="J41" s="36">
        <v>0.8</v>
      </c>
      <c r="K41" s="36"/>
    </row>
    <row r="42" spans="2:11">
      <c r="B42" s="34">
        <v>5.5</v>
      </c>
      <c r="C42" s="35" t="s">
        <v>1908</v>
      </c>
      <c r="D42" s="36">
        <v>750</v>
      </c>
      <c r="E42" s="36"/>
      <c r="F42" s="36"/>
      <c r="G42" s="36">
        <v>750</v>
      </c>
      <c r="H42" s="36">
        <v>1500</v>
      </c>
      <c r="I42" s="35" t="s">
        <v>883</v>
      </c>
      <c r="J42" s="36">
        <v>0.5</v>
      </c>
      <c r="K42" s="36"/>
    </row>
    <row r="43" spans="2:11">
      <c r="B43" s="34">
        <v>5.6</v>
      </c>
      <c r="C43" s="35" t="s">
        <v>1616</v>
      </c>
      <c r="D43" s="36">
        <v>42404.98</v>
      </c>
      <c r="E43" s="36"/>
      <c r="F43" s="36"/>
      <c r="G43" s="36">
        <v>42404.98</v>
      </c>
      <c r="H43" s="36">
        <v>424049.81</v>
      </c>
      <c r="I43" s="35" t="s">
        <v>883</v>
      </c>
      <c r="J43" s="36">
        <v>0.1</v>
      </c>
      <c r="K43" s="36"/>
    </row>
    <row r="44" spans="2:11">
      <c r="B44" s="34">
        <v>5.7</v>
      </c>
      <c r="C44" s="35" t="s">
        <v>1909</v>
      </c>
      <c r="D44" s="36"/>
      <c r="E44" s="36"/>
      <c r="F44" s="36">
        <v>50</v>
      </c>
      <c r="G44" s="36">
        <v>50</v>
      </c>
      <c r="H44" s="36"/>
      <c r="I44" s="36"/>
      <c r="J44" s="36"/>
      <c r="K44" s="36"/>
    </row>
    <row r="45" spans="2:11">
      <c r="B45" s="34">
        <v>5.8</v>
      </c>
      <c r="C45" s="35" t="s">
        <v>1910</v>
      </c>
      <c r="D45" s="36"/>
      <c r="E45" s="36"/>
      <c r="F45" s="36">
        <v>50</v>
      </c>
      <c r="G45" s="36">
        <v>50</v>
      </c>
      <c r="H45" s="36"/>
      <c r="I45" s="36"/>
      <c r="J45" s="36"/>
      <c r="K45" s="36"/>
    </row>
    <row r="46" spans="2:11">
      <c r="B46" s="30" t="s">
        <v>1107</v>
      </c>
      <c r="C46" s="40" t="s">
        <v>1108</v>
      </c>
      <c r="D46" s="32"/>
      <c r="E46" s="32"/>
      <c r="F46" s="32">
        <v>61955.37</v>
      </c>
      <c r="G46" s="32">
        <v>61955.37</v>
      </c>
      <c r="H46" s="32"/>
      <c r="I46" s="32"/>
      <c r="J46" s="32"/>
      <c r="K46" s="32"/>
    </row>
    <row r="47" spans="2:11">
      <c r="B47" s="34">
        <v>1</v>
      </c>
      <c r="C47" s="41" t="s">
        <v>1162</v>
      </c>
      <c r="D47" s="36"/>
      <c r="E47" s="36"/>
      <c r="F47" s="36">
        <v>31492.52</v>
      </c>
      <c r="G47" s="36">
        <v>31492.52</v>
      </c>
      <c r="H47" s="36"/>
      <c r="I47" s="36"/>
      <c r="J47" s="36"/>
      <c r="K47" s="36"/>
    </row>
    <row r="48" spans="2:11">
      <c r="B48" s="34">
        <v>2</v>
      </c>
      <c r="C48" s="41" t="s">
        <v>1109</v>
      </c>
      <c r="D48" s="36"/>
      <c r="E48" s="36"/>
      <c r="F48" s="36">
        <v>2488.9699999999998</v>
      </c>
      <c r="G48" s="36">
        <v>2488.9699999999998</v>
      </c>
      <c r="H48" s="36"/>
      <c r="I48" s="32"/>
      <c r="J48" s="32"/>
      <c r="K48" s="35" t="s">
        <v>1911</v>
      </c>
    </row>
    <row r="49" spans="2:11">
      <c r="B49" s="34">
        <v>3</v>
      </c>
      <c r="C49" s="41" t="s">
        <v>1111</v>
      </c>
      <c r="D49" s="36"/>
      <c r="E49" s="36"/>
      <c r="F49" s="36">
        <v>3650.63</v>
      </c>
      <c r="G49" s="36">
        <v>3650.63</v>
      </c>
      <c r="H49" s="36"/>
      <c r="I49" s="32"/>
      <c r="J49" s="32"/>
      <c r="K49" s="35" t="s">
        <v>1912</v>
      </c>
    </row>
    <row r="50" spans="2:11">
      <c r="B50" s="34">
        <v>4</v>
      </c>
      <c r="C50" s="41" t="s">
        <v>1113</v>
      </c>
      <c r="D50" s="36"/>
      <c r="E50" s="36"/>
      <c r="F50" s="36">
        <v>290</v>
      </c>
      <c r="G50" s="36">
        <v>290</v>
      </c>
      <c r="H50" s="36"/>
      <c r="I50" s="32"/>
      <c r="J50" s="32"/>
      <c r="K50" s="36"/>
    </row>
    <row r="51" spans="2:11">
      <c r="B51" s="34">
        <v>4.0999999999999996</v>
      </c>
      <c r="C51" s="41" t="s">
        <v>1114</v>
      </c>
      <c r="D51" s="36"/>
      <c r="E51" s="35"/>
      <c r="F51" s="36">
        <v>290</v>
      </c>
      <c r="G51" s="36">
        <v>290</v>
      </c>
      <c r="H51" s="36"/>
      <c r="I51" s="32"/>
      <c r="J51" s="32"/>
      <c r="K51" s="35" t="s">
        <v>1913</v>
      </c>
    </row>
    <row r="52" spans="2:11">
      <c r="B52" s="34">
        <v>5</v>
      </c>
      <c r="C52" s="41" t="s">
        <v>1116</v>
      </c>
      <c r="D52" s="36"/>
      <c r="E52" s="36"/>
      <c r="F52" s="36">
        <v>1016</v>
      </c>
      <c r="G52" s="36">
        <v>1016</v>
      </c>
      <c r="H52" s="36"/>
      <c r="I52" s="32"/>
      <c r="J52" s="32"/>
      <c r="K52" s="35" t="s">
        <v>1914</v>
      </c>
    </row>
    <row r="53" spans="2:11">
      <c r="B53" s="34">
        <v>5.0999999999999996</v>
      </c>
      <c r="C53" s="41" t="s">
        <v>1118</v>
      </c>
      <c r="D53" s="36"/>
      <c r="E53" s="36"/>
      <c r="F53" s="36">
        <v>280</v>
      </c>
      <c r="G53" s="36">
        <v>280</v>
      </c>
      <c r="H53" s="36"/>
      <c r="I53" s="32"/>
      <c r="J53" s="32"/>
      <c r="K53" s="35" t="s">
        <v>1914</v>
      </c>
    </row>
    <row r="54" spans="2:11">
      <c r="B54" s="34">
        <v>5.2</v>
      </c>
      <c r="C54" s="41" t="s">
        <v>1119</v>
      </c>
      <c r="D54" s="36"/>
      <c r="E54" s="36"/>
      <c r="F54" s="36">
        <v>608</v>
      </c>
      <c r="G54" s="36">
        <v>608</v>
      </c>
      <c r="H54" s="36"/>
      <c r="I54" s="32"/>
      <c r="J54" s="32"/>
      <c r="K54" s="35" t="s">
        <v>1914</v>
      </c>
    </row>
    <row r="55" spans="2:11">
      <c r="B55" s="34">
        <v>5.3</v>
      </c>
      <c r="C55" s="41" t="s">
        <v>1120</v>
      </c>
      <c r="D55" s="36"/>
      <c r="E55" s="36"/>
      <c r="F55" s="36">
        <v>128</v>
      </c>
      <c r="G55" s="36">
        <v>128</v>
      </c>
      <c r="H55" s="36"/>
      <c r="I55" s="32"/>
      <c r="J55" s="32"/>
      <c r="K55" s="35" t="s">
        <v>1914</v>
      </c>
    </row>
    <row r="56" spans="2:11">
      <c r="B56" s="34">
        <v>6</v>
      </c>
      <c r="C56" s="41" t="s">
        <v>1121</v>
      </c>
      <c r="D56" s="36"/>
      <c r="E56" s="36"/>
      <c r="F56" s="36">
        <v>140.63999999999999</v>
      </c>
      <c r="G56" s="36">
        <v>140.63999999999999</v>
      </c>
      <c r="H56" s="36">
        <v>937600</v>
      </c>
      <c r="I56" s="31" t="s">
        <v>883</v>
      </c>
      <c r="J56" s="32"/>
      <c r="K56" s="35" t="s">
        <v>1915</v>
      </c>
    </row>
    <row r="57" spans="2:11">
      <c r="B57" s="34">
        <v>7</v>
      </c>
      <c r="C57" s="41" t="s">
        <v>1123</v>
      </c>
      <c r="D57" s="36"/>
      <c r="E57" s="36"/>
      <c r="F57" s="36">
        <v>9383.77</v>
      </c>
      <c r="G57" s="36">
        <v>9383.77</v>
      </c>
      <c r="H57" s="36"/>
      <c r="I57" s="32"/>
      <c r="J57" s="32"/>
      <c r="K57" s="36"/>
    </row>
    <row r="58" spans="2:11">
      <c r="B58" s="34">
        <v>7.1</v>
      </c>
      <c r="C58" s="41" t="s">
        <v>1124</v>
      </c>
      <c r="D58" s="36"/>
      <c r="E58" s="36"/>
      <c r="F58" s="36">
        <v>2350.7199999999998</v>
      </c>
      <c r="G58" s="36">
        <v>2350.7199999999998</v>
      </c>
      <c r="H58" s="36"/>
      <c r="I58" s="32"/>
      <c r="J58" s="32"/>
      <c r="K58" s="35" t="s">
        <v>1916</v>
      </c>
    </row>
    <row r="59" spans="2:11">
      <c r="B59" s="34">
        <v>7.2</v>
      </c>
      <c r="C59" s="41" t="s">
        <v>1126</v>
      </c>
      <c r="D59" s="36"/>
      <c r="E59" s="36"/>
      <c r="F59" s="36">
        <v>6147.77</v>
      </c>
      <c r="G59" s="36">
        <v>6147.77</v>
      </c>
      <c r="H59" s="36"/>
      <c r="I59" s="32"/>
      <c r="J59" s="32"/>
      <c r="K59" s="35" t="s">
        <v>1916</v>
      </c>
    </row>
    <row r="60" spans="2:11">
      <c r="B60" s="34">
        <v>7.3</v>
      </c>
      <c r="C60" s="41" t="s">
        <v>1127</v>
      </c>
      <c r="D60" s="36"/>
      <c r="E60" s="36"/>
      <c r="F60" s="36">
        <v>491.82</v>
      </c>
      <c r="G60" s="36">
        <v>491.82</v>
      </c>
      <c r="H60" s="36"/>
      <c r="I60" s="32"/>
      <c r="J60" s="32"/>
      <c r="K60" s="35" t="s">
        <v>1916</v>
      </c>
    </row>
    <row r="61" spans="2:11">
      <c r="B61" s="34">
        <v>7.4</v>
      </c>
      <c r="C61" s="41" t="s">
        <v>1128</v>
      </c>
      <c r="D61" s="36"/>
      <c r="E61" s="36"/>
      <c r="F61" s="36">
        <v>393.46</v>
      </c>
      <c r="G61" s="36">
        <v>393.46</v>
      </c>
      <c r="H61" s="36"/>
      <c r="I61" s="32"/>
      <c r="J61" s="32"/>
      <c r="K61" s="36"/>
    </row>
    <row r="62" spans="2:11">
      <c r="B62" s="34">
        <v>8</v>
      </c>
      <c r="C62" s="41" t="s">
        <v>1129</v>
      </c>
      <c r="D62" s="36"/>
      <c r="E62" s="36"/>
      <c r="F62" s="36">
        <v>3302.74</v>
      </c>
      <c r="G62" s="36">
        <v>3302.74</v>
      </c>
      <c r="H62" s="36"/>
      <c r="I62" s="32"/>
      <c r="J62" s="32"/>
      <c r="K62" s="35" t="s">
        <v>1917</v>
      </c>
    </row>
    <row r="63" spans="2:11">
      <c r="B63" s="34">
        <v>8.1</v>
      </c>
      <c r="C63" s="41" t="s">
        <v>1131</v>
      </c>
      <c r="D63" s="36"/>
      <c r="E63" s="36"/>
      <c r="F63" s="36">
        <v>201.95</v>
      </c>
      <c r="G63" s="36">
        <v>201.95</v>
      </c>
      <c r="H63" s="36"/>
      <c r="I63" s="32"/>
      <c r="J63" s="32"/>
      <c r="K63" s="35" t="s">
        <v>1917</v>
      </c>
    </row>
    <row r="64" spans="2:11">
      <c r="B64" s="34">
        <v>8.1999999999999993</v>
      </c>
      <c r="C64" s="41" t="s">
        <v>1132</v>
      </c>
      <c r="D64" s="36"/>
      <c r="E64" s="36"/>
      <c r="F64" s="36">
        <v>127.39</v>
      </c>
      <c r="G64" s="36">
        <v>127.39</v>
      </c>
      <c r="H64" s="36"/>
      <c r="I64" s="32"/>
      <c r="J64" s="32"/>
      <c r="K64" s="35" t="s">
        <v>1917</v>
      </c>
    </row>
    <row r="65" spans="2:11">
      <c r="B65" s="34">
        <v>8.3000000000000007</v>
      </c>
      <c r="C65" s="41" t="s">
        <v>1133</v>
      </c>
      <c r="D65" s="36"/>
      <c r="E65" s="36"/>
      <c r="F65" s="36">
        <v>1504.2</v>
      </c>
      <c r="G65" s="36">
        <v>1504.2</v>
      </c>
      <c r="H65" s="36"/>
      <c r="I65" s="32"/>
      <c r="J65" s="32"/>
      <c r="K65" s="35" t="s">
        <v>1917</v>
      </c>
    </row>
    <row r="66" spans="2:11">
      <c r="B66" s="34">
        <v>8.4</v>
      </c>
      <c r="C66" s="41" t="s">
        <v>1134</v>
      </c>
      <c r="D66" s="36"/>
      <c r="E66" s="36"/>
      <c r="F66" s="36">
        <v>1469.19</v>
      </c>
      <c r="G66" s="36">
        <v>1469.19</v>
      </c>
      <c r="H66" s="36"/>
      <c r="I66" s="32"/>
      <c r="J66" s="32"/>
      <c r="K66" s="35" t="s">
        <v>1917</v>
      </c>
    </row>
    <row r="67" spans="2:11">
      <c r="B67" s="34">
        <v>9</v>
      </c>
      <c r="C67" s="41" t="s">
        <v>1135</v>
      </c>
      <c r="D67" s="36"/>
      <c r="E67" s="36"/>
      <c r="F67" s="36">
        <v>3673</v>
      </c>
      <c r="G67" s="36">
        <v>3673</v>
      </c>
      <c r="H67" s="36"/>
      <c r="I67" s="32"/>
      <c r="J67" s="32"/>
      <c r="K67" s="35" t="s">
        <v>1918</v>
      </c>
    </row>
    <row r="68" spans="2:11">
      <c r="B68" s="34">
        <v>10</v>
      </c>
      <c r="C68" s="41" t="s">
        <v>1137</v>
      </c>
      <c r="D68" s="36"/>
      <c r="E68" s="36"/>
      <c r="F68" s="36">
        <v>1836.5</v>
      </c>
      <c r="G68" s="36">
        <v>1836.5</v>
      </c>
      <c r="H68" s="36"/>
      <c r="I68" s="32"/>
      <c r="J68" s="32"/>
      <c r="K68" s="35" t="s">
        <v>1919</v>
      </c>
    </row>
    <row r="69" spans="2:11">
      <c r="B69" s="34">
        <v>11</v>
      </c>
      <c r="C69" s="41" t="s">
        <v>1139</v>
      </c>
      <c r="D69" s="36"/>
      <c r="E69" s="36"/>
      <c r="F69" s="36">
        <v>144.28</v>
      </c>
      <c r="G69" s="36">
        <v>144.28</v>
      </c>
      <c r="H69" s="36"/>
      <c r="I69" s="32"/>
      <c r="J69" s="32"/>
      <c r="K69" s="35" t="s">
        <v>1920</v>
      </c>
    </row>
    <row r="70" spans="2:11">
      <c r="B70" s="34">
        <v>11.1</v>
      </c>
      <c r="C70" s="41" t="s">
        <v>1141</v>
      </c>
      <c r="D70" s="36"/>
      <c r="E70" s="36"/>
      <c r="F70" s="36">
        <v>102.28</v>
      </c>
      <c r="G70" s="36">
        <v>102.28</v>
      </c>
      <c r="H70" s="36"/>
      <c r="I70" s="32"/>
      <c r="J70" s="32"/>
      <c r="K70" s="36"/>
    </row>
    <row r="71" spans="2:11">
      <c r="B71" s="34">
        <v>11.2</v>
      </c>
      <c r="C71" s="41" t="s">
        <v>1142</v>
      </c>
      <c r="D71" s="36"/>
      <c r="E71" s="36"/>
      <c r="F71" s="36">
        <v>42</v>
      </c>
      <c r="G71" s="36">
        <v>42</v>
      </c>
      <c r="H71" s="36"/>
      <c r="I71" s="32"/>
      <c r="J71" s="32"/>
      <c r="K71" s="36"/>
    </row>
    <row r="72" spans="2:11">
      <c r="B72" s="34" t="s">
        <v>1680</v>
      </c>
      <c r="C72" s="41" t="s">
        <v>1144</v>
      </c>
      <c r="D72" s="36"/>
      <c r="E72" s="36"/>
      <c r="F72" s="36">
        <v>18.100000000000001</v>
      </c>
      <c r="G72" s="36">
        <v>18.100000000000001</v>
      </c>
      <c r="H72" s="36"/>
      <c r="I72" s="32"/>
      <c r="J72" s="32"/>
      <c r="K72" s="36"/>
    </row>
    <row r="73" spans="2:11">
      <c r="B73" s="34" t="s">
        <v>1682</v>
      </c>
      <c r="C73" s="41" t="s">
        <v>1146</v>
      </c>
      <c r="D73" s="36"/>
      <c r="E73" s="36"/>
      <c r="F73" s="36">
        <v>10.33</v>
      </c>
      <c r="G73" s="36">
        <v>10.33</v>
      </c>
      <c r="H73" s="36"/>
      <c r="I73" s="32"/>
      <c r="J73" s="32"/>
      <c r="K73" s="36"/>
    </row>
    <row r="74" spans="2:11">
      <c r="B74" s="34" t="s">
        <v>1684</v>
      </c>
      <c r="C74" s="41" t="s">
        <v>1148</v>
      </c>
      <c r="D74" s="36"/>
      <c r="E74" s="36"/>
      <c r="F74" s="36">
        <v>13.58</v>
      </c>
      <c r="G74" s="36">
        <v>13.58</v>
      </c>
      <c r="H74" s="36"/>
      <c r="I74" s="32"/>
      <c r="J74" s="32"/>
      <c r="K74" s="36"/>
    </row>
    <row r="75" spans="2:11">
      <c r="B75" s="34">
        <v>12</v>
      </c>
      <c r="C75" s="41" t="s">
        <v>1149</v>
      </c>
      <c r="D75" s="36"/>
      <c r="E75" s="36"/>
      <c r="F75" s="36">
        <v>73.97</v>
      </c>
      <c r="G75" s="36">
        <v>73.97</v>
      </c>
      <c r="H75" s="36"/>
      <c r="I75" s="36"/>
      <c r="J75" s="36"/>
      <c r="K75" s="36"/>
    </row>
    <row r="76" spans="2:11">
      <c r="B76" s="34">
        <v>13</v>
      </c>
      <c r="C76" s="41" t="s">
        <v>1150</v>
      </c>
      <c r="D76" s="36"/>
      <c r="E76" s="36"/>
      <c r="F76" s="36">
        <v>118.46</v>
      </c>
      <c r="G76" s="36">
        <v>118.46</v>
      </c>
      <c r="H76" s="36"/>
      <c r="I76" s="36"/>
      <c r="J76" s="36"/>
      <c r="K76" s="36"/>
    </row>
    <row r="77" spans="2:11">
      <c r="B77" s="34">
        <v>14</v>
      </c>
      <c r="C77" s="41" t="s">
        <v>1151</v>
      </c>
      <c r="D77" s="36"/>
      <c r="E77" s="36"/>
      <c r="F77" s="36">
        <v>40</v>
      </c>
      <c r="G77" s="36">
        <v>40</v>
      </c>
      <c r="H77" s="36"/>
      <c r="I77" s="36"/>
      <c r="J77" s="36"/>
      <c r="K77" s="36"/>
    </row>
    <row r="78" spans="2:11">
      <c r="B78" s="34">
        <v>15</v>
      </c>
      <c r="C78" s="41" t="s">
        <v>1152</v>
      </c>
      <c r="D78" s="36"/>
      <c r="E78" s="36"/>
      <c r="F78" s="36">
        <v>1542.78</v>
      </c>
      <c r="G78" s="36">
        <v>1542.78</v>
      </c>
      <c r="H78" s="36"/>
      <c r="I78" s="36"/>
      <c r="J78" s="36"/>
      <c r="K78" s="36"/>
    </row>
    <row r="79" spans="2:11">
      <c r="B79" s="34">
        <v>16</v>
      </c>
      <c r="C79" s="41" t="s">
        <v>1153</v>
      </c>
      <c r="D79" s="36"/>
      <c r="E79" s="36"/>
      <c r="F79" s="36">
        <v>40</v>
      </c>
      <c r="G79" s="36">
        <v>40</v>
      </c>
      <c r="H79" s="36"/>
      <c r="I79" s="36"/>
      <c r="J79" s="36"/>
      <c r="K79" s="36"/>
    </row>
    <row r="80" spans="2:11">
      <c r="B80" s="34">
        <v>17</v>
      </c>
      <c r="C80" s="41" t="s">
        <v>1154</v>
      </c>
      <c r="D80" s="36"/>
      <c r="E80" s="36"/>
      <c r="F80" s="36">
        <v>50</v>
      </c>
      <c r="G80" s="36">
        <v>50</v>
      </c>
      <c r="H80" s="36"/>
      <c r="I80" s="36"/>
      <c r="J80" s="36"/>
      <c r="K80" s="36"/>
    </row>
    <row r="81" spans="2:11">
      <c r="B81" s="34">
        <v>18</v>
      </c>
      <c r="C81" s="41" t="s">
        <v>1155</v>
      </c>
      <c r="D81" s="36"/>
      <c r="E81" s="36"/>
      <c r="F81" s="36">
        <v>100</v>
      </c>
      <c r="G81" s="36">
        <v>100</v>
      </c>
      <c r="H81" s="36"/>
      <c r="I81" s="36"/>
      <c r="J81" s="36"/>
      <c r="K81" s="36"/>
    </row>
    <row r="82" spans="2:11">
      <c r="B82" s="34">
        <v>19</v>
      </c>
      <c r="C82" s="42" t="s">
        <v>1156</v>
      </c>
      <c r="D82" s="36"/>
      <c r="E82" s="36"/>
      <c r="F82" s="36">
        <v>2571.1</v>
      </c>
      <c r="G82" s="36">
        <v>2571.1</v>
      </c>
      <c r="H82" s="36"/>
      <c r="I82" s="36"/>
      <c r="J82" s="36"/>
      <c r="K82" s="36"/>
    </row>
    <row r="83" spans="2:11">
      <c r="B83" s="30" t="s">
        <v>1157</v>
      </c>
      <c r="C83" s="40" t="s">
        <v>1158</v>
      </c>
      <c r="D83" s="32"/>
      <c r="E83" s="32"/>
      <c r="F83" s="32"/>
      <c r="G83" s="32">
        <v>34340.47</v>
      </c>
      <c r="H83" s="36"/>
      <c r="I83" s="63"/>
      <c r="J83" s="36"/>
      <c r="K83" s="36" t="s">
        <v>1696</v>
      </c>
    </row>
    <row r="84" spans="2:11">
      <c r="B84" s="30" t="s">
        <v>1160</v>
      </c>
      <c r="C84" s="40" t="s">
        <v>1161</v>
      </c>
      <c r="D84" s="32"/>
      <c r="E84" s="32"/>
      <c r="F84" s="32"/>
      <c r="G84" s="32">
        <v>2300</v>
      </c>
      <c r="H84" s="36"/>
      <c r="I84" s="63"/>
      <c r="J84" s="36"/>
      <c r="K84" s="36"/>
    </row>
    <row r="85" spans="2:11">
      <c r="B85" s="34">
        <v>1</v>
      </c>
      <c r="C85" s="41" t="s">
        <v>1166</v>
      </c>
      <c r="D85" s="32"/>
      <c r="E85" s="32"/>
      <c r="F85" s="38"/>
      <c r="G85" s="36">
        <v>1000</v>
      </c>
      <c r="H85" s="36"/>
      <c r="I85" s="63"/>
      <c r="J85" s="36"/>
      <c r="K85" s="36"/>
    </row>
    <row r="86" spans="2:11">
      <c r="B86" s="34">
        <v>2</v>
      </c>
      <c r="C86" s="41" t="s">
        <v>1167</v>
      </c>
      <c r="D86" s="32"/>
      <c r="E86" s="32"/>
      <c r="F86" s="38"/>
      <c r="G86" s="36">
        <v>600</v>
      </c>
      <c r="H86" s="36"/>
      <c r="I86" s="63"/>
      <c r="J86" s="36"/>
      <c r="K86" s="36"/>
    </row>
    <row r="87" spans="2:11">
      <c r="B87" s="34">
        <v>3</v>
      </c>
      <c r="C87" s="41" t="s">
        <v>1168</v>
      </c>
      <c r="D87" s="32"/>
      <c r="E87" s="32"/>
      <c r="F87" s="38"/>
      <c r="G87" s="36">
        <v>700</v>
      </c>
      <c r="H87" s="36"/>
      <c r="I87" s="63"/>
      <c r="J87" s="36"/>
      <c r="K87" s="36"/>
    </row>
    <row r="88" spans="2:11">
      <c r="B88" s="30" t="s">
        <v>1169</v>
      </c>
      <c r="C88" s="40" t="s">
        <v>1170</v>
      </c>
      <c r="D88" s="32"/>
      <c r="E88" s="32"/>
      <c r="F88" s="32"/>
      <c r="G88" s="32">
        <v>465896.33</v>
      </c>
      <c r="H88" s="36"/>
      <c r="I88" s="63"/>
      <c r="J88" s="36"/>
      <c r="K88" s="35" t="s">
        <v>1921</v>
      </c>
    </row>
    <row r="89" spans="2:11">
      <c r="B89" s="30" t="s">
        <v>1172</v>
      </c>
      <c r="C89" s="40" t="s">
        <v>1173</v>
      </c>
      <c r="D89" s="32"/>
      <c r="E89" s="32"/>
      <c r="F89" s="32"/>
      <c r="G89" s="32">
        <v>22374</v>
      </c>
      <c r="H89" s="36"/>
      <c r="I89" s="38"/>
      <c r="J89" s="32"/>
      <c r="K89" s="36"/>
    </row>
    <row r="90" spans="2:11">
      <c r="B90" s="34">
        <v>1</v>
      </c>
      <c r="C90" s="41" t="s">
        <v>1174</v>
      </c>
      <c r="D90" s="36"/>
      <c r="E90" s="36"/>
      <c r="F90" s="36"/>
      <c r="G90" s="36">
        <v>20340</v>
      </c>
      <c r="H90" s="36"/>
      <c r="I90" s="64"/>
      <c r="J90" s="36"/>
      <c r="K90" s="36"/>
    </row>
    <row r="91" spans="2:11">
      <c r="B91" s="34">
        <v>2</v>
      </c>
      <c r="C91" s="41" t="s">
        <v>1922</v>
      </c>
      <c r="D91" s="36"/>
      <c r="E91" s="36"/>
      <c r="F91" s="36"/>
      <c r="G91" s="36">
        <v>678</v>
      </c>
      <c r="H91" s="36"/>
      <c r="I91" s="64"/>
      <c r="J91" s="36"/>
      <c r="K91" s="36"/>
    </row>
    <row r="92" spans="2:11">
      <c r="B92" s="34">
        <v>3</v>
      </c>
      <c r="C92" s="41" t="s">
        <v>1923</v>
      </c>
      <c r="D92" s="36"/>
      <c r="E92" s="36"/>
      <c r="F92" s="36"/>
      <c r="G92" s="36">
        <v>1356</v>
      </c>
      <c r="H92" s="36"/>
      <c r="I92" s="64"/>
      <c r="J92" s="36"/>
      <c r="K92" s="36"/>
    </row>
    <row r="93" spans="2:11">
      <c r="B93" s="30" t="s">
        <v>1177</v>
      </c>
      <c r="C93" s="40" t="s">
        <v>1178</v>
      </c>
      <c r="D93" s="32"/>
      <c r="E93" s="32"/>
      <c r="F93" s="32"/>
      <c r="G93" s="32">
        <v>1461.28</v>
      </c>
      <c r="H93" s="32"/>
      <c r="I93" s="32"/>
      <c r="J93" s="32"/>
      <c r="K93" s="36"/>
    </row>
    <row r="94" spans="2:11">
      <c r="B94" s="30" t="s">
        <v>1179</v>
      </c>
      <c r="C94" s="40" t="s">
        <v>1180</v>
      </c>
      <c r="D94" s="32"/>
      <c r="E94" s="32"/>
      <c r="F94" s="32"/>
      <c r="G94" s="32">
        <v>489731.62</v>
      </c>
      <c r="H94" s="36"/>
      <c r="I94" s="38"/>
      <c r="J94" s="32"/>
      <c r="K94" s="35" t="s">
        <v>1924</v>
      </c>
    </row>
    <row r="96" spans="2:11">
      <c r="B96" s="43" t="s">
        <v>878</v>
      </c>
      <c r="C96" s="43" t="s">
        <v>879</v>
      </c>
      <c r="D96" s="44">
        <f>G6</f>
        <v>367300.49</v>
      </c>
      <c r="E96" s="27"/>
    </row>
    <row r="97" spans="2:9">
      <c r="B97" s="45">
        <v>1</v>
      </c>
      <c r="C97" s="43" t="s">
        <v>881</v>
      </c>
      <c r="D97" s="46">
        <f>G7</f>
        <v>46384.2</v>
      </c>
      <c r="E97" s="27"/>
      <c r="F97" s="29">
        <f>D97/D102</f>
        <v>0.12628406784864349</v>
      </c>
      <c r="G97" s="46">
        <f>F97*D146</f>
        <v>7823.9748858271323</v>
      </c>
      <c r="H97" s="46">
        <f>D97+G97</f>
        <v>54208.174885827131</v>
      </c>
    </row>
    <row r="98" spans="2:9">
      <c r="B98" s="45">
        <v>2</v>
      </c>
      <c r="C98" s="43" t="s">
        <v>948</v>
      </c>
      <c r="D98" s="46">
        <f>G14</f>
        <v>91799.35</v>
      </c>
      <c r="E98" s="27"/>
      <c r="F98" s="29">
        <f>D98/D102</f>
        <v>0.24992983265554589</v>
      </c>
      <c r="G98" s="46">
        <f>F98*D146</f>
        <v>15484.4927569141</v>
      </c>
      <c r="H98" s="46">
        <f>D98+G98</f>
        <v>107283.84275691411</v>
      </c>
    </row>
    <row r="99" spans="2:9">
      <c r="B99" s="45">
        <v>3</v>
      </c>
      <c r="C99" s="43" t="s">
        <v>342</v>
      </c>
      <c r="D99" s="46">
        <f>G26</f>
        <v>95141.25</v>
      </c>
      <c r="E99" s="27"/>
      <c r="F99" s="29">
        <f>D99/D102</f>
        <v>0.25902837755539071</v>
      </c>
      <c r="G99" s="46">
        <f>F99*D146</f>
        <v>16048.196381660149</v>
      </c>
      <c r="H99" s="46">
        <f>D99+G99</f>
        <v>111189.44638166015</v>
      </c>
    </row>
    <row r="100" spans="2:9">
      <c r="B100" s="45">
        <v>4</v>
      </c>
      <c r="C100" s="43" t="s">
        <v>1067</v>
      </c>
      <c r="D100" s="46">
        <f>G33</f>
        <v>65920.710000000006</v>
      </c>
      <c r="E100" s="27"/>
      <c r="F100" s="29">
        <f>D100/D102</f>
        <v>0.17947351499585532</v>
      </c>
      <c r="G100" s="46">
        <f>F100*D146</f>
        <v>11119.346232033613</v>
      </c>
      <c r="H100" s="46">
        <f>D100+G100</f>
        <v>77040.056232033618</v>
      </c>
    </row>
    <row r="101" spans="2:9">
      <c r="B101" s="45">
        <v>5</v>
      </c>
      <c r="C101" s="43" t="s">
        <v>370</v>
      </c>
      <c r="D101" s="46">
        <f>G37</f>
        <v>68054.98</v>
      </c>
      <c r="E101" s="27"/>
      <c r="F101" s="29">
        <f>D101/D102</f>
        <v>0.18528420694456466</v>
      </c>
      <c r="G101" s="46">
        <f>F101*D146</f>
        <v>11479.349743565002</v>
      </c>
      <c r="H101" s="46">
        <f>D101+G101</f>
        <v>79534.329743565002</v>
      </c>
    </row>
    <row r="102" spans="2:9">
      <c r="B102" s="45"/>
      <c r="C102" s="43"/>
      <c r="D102" s="47">
        <f>SUM(D97:D101)</f>
        <v>367300.49</v>
      </c>
      <c r="E102" s="27"/>
      <c r="G102" s="48">
        <f>SUM(G97:G101)</f>
        <v>61955.360000000001</v>
      </c>
      <c r="H102" s="49">
        <f>SUM(H97:H101)</f>
        <v>429255.85000000003</v>
      </c>
    </row>
    <row r="103" spans="2:9">
      <c r="B103" s="45"/>
      <c r="C103" s="43"/>
      <c r="D103" s="47"/>
      <c r="E103" s="27"/>
      <c r="F103" s="50" t="s">
        <v>1925</v>
      </c>
      <c r="G103" s="51" t="s">
        <v>1926</v>
      </c>
      <c r="I103" s="65" t="s">
        <v>1927</v>
      </c>
    </row>
    <row r="104" spans="2:9">
      <c r="B104" s="43" t="s">
        <v>1107</v>
      </c>
      <c r="C104" s="52" t="s">
        <v>1108</v>
      </c>
      <c r="D104" s="53">
        <f>F46</f>
        <v>61955.37</v>
      </c>
      <c r="E104" s="27"/>
    </row>
    <row r="105" spans="2:9">
      <c r="B105" s="54">
        <v>1</v>
      </c>
      <c r="C105" s="55" t="s">
        <v>1162</v>
      </c>
      <c r="D105" s="46">
        <f>F47</f>
        <v>31492.52</v>
      </c>
      <c r="E105" s="27"/>
      <c r="I105" s="46">
        <f>D105</f>
        <v>31492.52</v>
      </c>
    </row>
    <row r="106" spans="2:9">
      <c r="B106" s="54">
        <v>2</v>
      </c>
      <c r="C106" s="56" t="s">
        <v>1109</v>
      </c>
      <c r="D106" s="46">
        <f>F48</f>
        <v>2488.9699999999998</v>
      </c>
      <c r="E106" s="27"/>
      <c r="G106" s="46">
        <f>D106</f>
        <v>2488.9699999999998</v>
      </c>
    </row>
    <row r="107" spans="2:9">
      <c r="B107" s="54">
        <v>3</v>
      </c>
      <c r="C107" s="57" t="s">
        <v>1111</v>
      </c>
      <c r="D107" s="58">
        <f>F49</f>
        <v>3650.63</v>
      </c>
      <c r="E107" s="27"/>
      <c r="F107" s="58">
        <f>F49</f>
        <v>3650.63</v>
      </c>
      <c r="G107" s="46"/>
    </row>
    <row r="108" spans="2:9">
      <c r="B108" s="54">
        <v>4</v>
      </c>
      <c r="C108" s="59" t="s">
        <v>1113</v>
      </c>
      <c r="D108" s="46"/>
      <c r="E108" s="27"/>
    </row>
    <row r="109" spans="2:9">
      <c r="B109" s="60">
        <v>4.0999999999999996</v>
      </c>
      <c r="C109" s="57" t="s">
        <v>1114</v>
      </c>
      <c r="D109" s="46">
        <f>F51</f>
        <v>290</v>
      </c>
      <c r="E109" s="46">
        <f>G51</f>
        <v>290</v>
      </c>
      <c r="F109" s="58">
        <f>E109</f>
        <v>290</v>
      </c>
    </row>
    <row r="110" spans="2:9">
      <c r="B110" s="54">
        <v>5</v>
      </c>
      <c r="C110" s="61" t="s">
        <v>1116</v>
      </c>
      <c r="D110" s="46">
        <f>F52</f>
        <v>1016</v>
      </c>
      <c r="E110" s="46"/>
    </row>
    <row r="111" spans="2:9">
      <c r="B111" s="60">
        <v>5.0999999999999996</v>
      </c>
      <c r="C111" s="57" t="s">
        <v>1118</v>
      </c>
      <c r="E111" s="46">
        <f>F53</f>
        <v>280</v>
      </c>
      <c r="F111" s="58">
        <f>E111</f>
        <v>280</v>
      </c>
    </row>
    <row r="112" spans="2:9">
      <c r="B112" s="60">
        <v>5.2</v>
      </c>
      <c r="C112" s="56" t="s">
        <v>1119</v>
      </c>
      <c r="E112" s="46"/>
      <c r="G112" s="46">
        <f>F54</f>
        <v>608</v>
      </c>
    </row>
    <row r="113" spans="2:7">
      <c r="B113" s="60">
        <v>5.3</v>
      </c>
      <c r="C113" s="57" t="s">
        <v>1120</v>
      </c>
      <c r="E113" s="46">
        <f>F55</f>
        <v>128</v>
      </c>
      <c r="F113" s="58">
        <f>E113</f>
        <v>128</v>
      </c>
    </row>
    <row r="114" spans="2:7">
      <c r="B114" s="54">
        <v>6</v>
      </c>
      <c r="C114" s="56" t="s">
        <v>1121</v>
      </c>
      <c r="D114" s="46">
        <f>F56</f>
        <v>140.63999999999999</v>
      </c>
      <c r="E114" s="27"/>
      <c r="G114" s="46">
        <f>D114</f>
        <v>140.63999999999999</v>
      </c>
    </row>
    <row r="115" spans="2:7">
      <c r="B115" s="54">
        <v>7</v>
      </c>
      <c r="C115" s="61" t="s">
        <v>1123</v>
      </c>
      <c r="D115" s="46">
        <f>F57</f>
        <v>9383.77</v>
      </c>
      <c r="E115" s="46"/>
      <c r="F115" s="58"/>
    </row>
    <row r="116" spans="2:7">
      <c r="B116" s="54">
        <v>7.1</v>
      </c>
      <c r="C116" s="57" t="s">
        <v>1124</v>
      </c>
      <c r="E116" s="46">
        <f>F58</f>
        <v>2350.7199999999998</v>
      </c>
      <c r="F116" s="58">
        <f>E116</f>
        <v>2350.7199999999998</v>
      </c>
    </row>
    <row r="117" spans="2:7">
      <c r="B117" s="54">
        <v>7.2</v>
      </c>
      <c r="C117" s="57" t="s">
        <v>1126</v>
      </c>
      <c r="E117" s="46">
        <f>F59</f>
        <v>6147.77</v>
      </c>
      <c r="F117" s="58">
        <f>E117</f>
        <v>6147.77</v>
      </c>
    </row>
    <row r="118" spans="2:7">
      <c r="B118" s="54">
        <v>7.3</v>
      </c>
      <c r="C118" s="57" t="s">
        <v>1127</v>
      </c>
      <c r="E118" s="46">
        <f>F60</f>
        <v>491.82</v>
      </c>
      <c r="F118" s="58">
        <f>E118</f>
        <v>491.82</v>
      </c>
    </row>
    <row r="119" spans="2:7">
      <c r="B119" s="54">
        <v>7.4</v>
      </c>
      <c r="C119" s="57" t="s">
        <v>1128</v>
      </c>
      <c r="E119" s="46">
        <f>F61</f>
        <v>393.46</v>
      </c>
      <c r="F119" s="58">
        <f>E119</f>
        <v>393.46</v>
      </c>
    </row>
    <row r="120" spans="2:7">
      <c r="B120" s="54">
        <v>8</v>
      </c>
      <c r="C120" s="57" t="s">
        <v>1129</v>
      </c>
      <c r="D120" s="46">
        <f>F62</f>
        <v>3302.74</v>
      </c>
      <c r="E120" s="62"/>
      <c r="F120" s="46"/>
    </row>
    <row r="121" spans="2:7">
      <c r="B121" s="54">
        <v>8.1</v>
      </c>
      <c r="C121" s="57" t="s">
        <v>1131</v>
      </c>
      <c r="D121" s="46"/>
      <c r="E121" s="46">
        <f>G63</f>
        <v>201.95</v>
      </c>
      <c r="F121" s="58">
        <f>E121</f>
        <v>201.95</v>
      </c>
    </row>
    <row r="122" spans="2:7">
      <c r="B122" s="54">
        <v>8.1999999999999993</v>
      </c>
      <c r="C122" s="57" t="s">
        <v>1132</v>
      </c>
      <c r="D122" s="46"/>
      <c r="E122" s="46">
        <f>G64</f>
        <v>127.39</v>
      </c>
      <c r="F122" s="58">
        <f>E122</f>
        <v>127.39</v>
      </c>
    </row>
    <row r="123" spans="2:7">
      <c r="B123" s="54">
        <v>8.3000000000000007</v>
      </c>
      <c r="C123" s="57" t="s">
        <v>1133</v>
      </c>
      <c r="D123" s="46"/>
      <c r="E123" s="46">
        <f>G65</f>
        <v>1504.2</v>
      </c>
      <c r="F123" s="58">
        <f>E123</f>
        <v>1504.2</v>
      </c>
    </row>
    <row r="124" spans="2:7">
      <c r="B124" s="54">
        <v>8.4</v>
      </c>
      <c r="C124" s="57" t="s">
        <v>1134</v>
      </c>
      <c r="D124" s="46"/>
      <c r="E124" s="46">
        <f>G66</f>
        <v>1469.19</v>
      </c>
      <c r="F124" s="58">
        <f>E124</f>
        <v>1469.19</v>
      </c>
    </row>
    <row r="125" spans="2:7">
      <c r="B125" s="54">
        <v>9</v>
      </c>
      <c r="C125" s="56" t="s">
        <v>1135</v>
      </c>
      <c r="D125" s="46">
        <f>F67</f>
        <v>3673</v>
      </c>
      <c r="E125" s="62"/>
      <c r="G125" s="46">
        <f>D125</f>
        <v>3673</v>
      </c>
    </row>
    <row r="126" spans="2:7">
      <c r="B126" s="54">
        <v>10</v>
      </c>
      <c r="C126" s="56" t="s">
        <v>1137</v>
      </c>
      <c r="D126" s="46">
        <f>F68</f>
        <v>1836.5</v>
      </c>
      <c r="E126" s="62"/>
      <c r="G126" s="46">
        <f>D126</f>
        <v>1836.5</v>
      </c>
    </row>
    <row r="127" spans="2:7">
      <c r="B127" s="54">
        <v>11</v>
      </c>
      <c r="C127" s="57" t="s">
        <v>1139</v>
      </c>
      <c r="D127" s="46">
        <f>F69</f>
        <v>144.28</v>
      </c>
      <c r="E127" s="62"/>
      <c r="F127" s="58">
        <f>D127</f>
        <v>144.28</v>
      </c>
    </row>
    <row r="128" spans="2:7">
      <c r="B128" s="54">
        <v>11.1</v>
      </c>
      <c r="C128" s="61" t="s">
        <v>1141</v>
      </c>
      <c r="D128" s="46"/>
      <c r="E128" s="46">
        <f>G70</f>
        <v>102.28</v>
      </c>
      <c r="F128" s="46"/>
    </row>
    <row r="129" spans="2:11">
      <c r="B129" s="54">
        <v>11.2</v>
      </c>
      <c r="C129" s="61" t="s">
        <v>1142</v>
      </c>
      <c r="D129" s="46"/>
      <c r="E129" s="46">
        <f>G71</f>
        <v>42</v>
      </c>
      <c r="F129" s="46"/>
    </row>
    <row r="130" spans="2:11">
      <c r="B130" s="54" t="s">
        <v>1680</v>
      </c>
      <c r="C130" s="61" t="s">
        <v>1144</v>
      </c>
      <c r="D130" s="46"/>
      <c r="E130" s="46"/>
      <c r="F130" s="46"/>
    </row>
    <row r="131" spans="2:11">
      <c r="B131" s="54" t="s">
        <v>1682</v>
      </c>
      <c r="C131" s="61" t="s">
        <v>1146</v>
      </c>
      <c r="D131" s="46"/>
      <c r="E131" s="46"/>
      <c r="F131" s="46"/>
    </row>
    <row r="132" spans="2:11">
      <c r="B132" s="54" t="s">
        <v>1684</v>
      </c>
      <c r="C132" s="61" t="s">
        <v>1148</v>
      </c>
      <c r="E132" s="46"/>
      <c r="F132" s="46"/>
    </row>
    <row r="133" spans="2:11">
      <c r="B133" s="54">
        <v>12</v>
      </c>
      <c r="C133" s="57" t="s">
        <v>1149</v>
      </c>
      <c r="D133" s="46">
        <f t="shared" ref="D133:D140" si="0">G75</f>
        <v>73.97</v>
      </c>
      <c r="E133" s="62"/>
      <c r="F133" s="58">
        <f>D133</f>
        <v>73.97</v>
      </c>
    </row>
    <row r="134" spans="2:11">
      <c r="B134" s="54">
        <v>13</v>
      </c>
      <c r="C134" s="57" t="s">
        <v>1150</v>
      </c>
      <c r="D134" s="46">
        <f t="shared" si="0"/>
        <v>118.46</v>
      </c>
      <c r="E134" s="62"/>
      <c r="F134" s="58">
        <f>D134</f>
        <v>118.46</v>
      </c>
    </row>
    <row r="135" spans="2:11">
      <c r="B135" s="54">
        <v>14</v>
      </c>
      <c r="C135" s="57" t="s">
        <v>1151</v>
      </c>
      <c r="D135" s="46">
        <f t="shared" si="0"/>
        <v>40</v>
      </c>
      <c r="E135" s="62"/>
      <c r="F135" s="58">
        <f>D135</f>
        <v>40</v>
      </c>
    </row>
    <row r="136" spans="2:11">
      <c r="B136" s="54">
        <v>15</v>
      </c>
      <c r="C136" s="56" t="s">
        <v>1152</v>
      </c>
      <c r="D136" s="46">
        <f t="shared" si="0"/>
        <v>1542.78</v>
      </c>
      <c r="E136" s="62"/>
      <c r="G136" s="46">
        <f>D136</f>
        <v>1542.78</v>
      </c>
    </row>
    <row r="137" spans="2:11">
      <c r="B137" s="54">
        <v>16</v>
      </c>
      <c r="C137" s="57" t="s">
        <v>1153</v>
      </c>
      <c r="D137" s="46">
        <f t="shared" si="0"/>
        <v>40</v>
      </c>
      <c r="E137" s="62"/>
      <c r="F137" s="58">
        <f>D137</f>
        <v>40</v>
      </c>
    </row>
    <row r="138" spans="2:11">
      <c r="B138" s="54">
        <v>17</v>
      </c>
      <c r="C138" s="57" t="s">
        <v>1154</v>
      </c>
      <c r="D138" s="46">
        <f t="shared" si="0"/>
        <v>50</v>
      </c>
      <c r="E138" s="62"/>
      <c r="F138" s="58">
        <f>D138</f>
        <v>50</v>
      </c>
    </row>
    <row r="139" spans="2:11">
      <c r="B139" s="54">
        <v>18</v>
      </c>
      <c r="C139" s="56" t="s">
        <v>1155</v>
      </c>
      <c r="D139" s="46">
        <f t="shared" si="0"/>
        <v>100</v>
      </c>
      <c r="E139" s="62"/>
      <c r="G139" s="46">
        <f>D139</f>
        <v>100</v>
      </c>
    </row>
    <row r="140" spans="2:11">
      <c r="B140" s="54">
        <v>19</v>
      </c>
      <c r="C140" s="66" t="s">
        <v>1156</v>
      </c>
      <c r="D140" s="46">
        <f t="shared" si="0"/>
        <v>2571.1</v>
      </c>
      <c r="E140" s="62"/>
      <c r="F140" s="46"/>
      <c r="G140" s="46">
        <f>D140</f>
        <v>2571.1</v>
      </c>
    </row>
    <row r="141" spans="2:11">
      <c r="B141" s="54">
        <v>20</v>
      </c>
      <c r="C141" s="67" t="s">
        <v>1928</v>
      </c>
      <c r="D141" s="46"/>
      <c r="G141" s="46"/>
      <c r="I141" s="46"/>
      <c r="J141" s="77"/>
    </row>
    <row r="142" spans="2:11">
      <c r="B142" s="43" t="s">
        <v>1160</v>
      </c>
      <c r="C142" s="52" t="s">
        <v>1161</v>
      </c>
      <c r="D142" s="46">
        <v>2300</v>
      </c>
      <c r="E142" s="68"/>
      <c r="F142" s="68"/>
      <c r="G142"/>
      <c r="H142" s="69"/>
      <c r="I142" s="78"/>
      <c r="J142" s="69"/>
      <c r="K142" s="69"/>
    </row>
    <row r="143" spans="2:11">
      <c r="B143" s="54">
        <v>1</v>
      </c>
      <c r="C143" s="61" t="s">
        <v>1166</v>
      </c>
      <c r="D143" s="68"/>
      <c r="E143" s="68"/>
      <c r="F143" s="70"/>
      <c r="G143"/>
      <c r="H143" s="69"/>
      <c r="I143" s="48">
        <v>1500</v>
      </c>
      <c r="J143" s="69"/>
      <c r="K143" s="69"/>
    </row>
    <row r="144" spans="2:11">
      <c r="B144" s="54">
        <v>2</v>
      </c>
      <c r="C144" s="61" t="s">
        <v>1167</v>
      </c>
      <c r="D144" s="68"/>
      <c r="E144" s="68"/>
      <c r="F144" s="70"/>
      <c r="G144"/>
      <c r="H144" s="69"/>
      <c r="I144" s="46">
        <v>600</v>
      </c>
      <c r="J144" s="69"/>
      <c r="K144" s="69"/>
    </row>
    <row r="145" spans="2:11">
      <c r="B145" s="54">
        <v>3</v>
      </c>
      <c r="C145" s="61" t="s">
        <v>1168</v>
      </c>
      <c r="D145" s="68"/>
      <c r="E145" s="68"/>
      <c r="F145" s="70"/>
      <c r="G145"/>
      <c r="H145" s="69"/>
      <c r="I145" s="46">
        <v>700</v>
      </c>
      <c r="J145" s="69"/>
      <c r="K145" s="69"/>
    </row>
    <row r="146" spans="2:11">
      <c r="D146" s="53">
        <f>SUM(D105:D141)</f>
        <v>61955.359999999993</v>
      </c>
      <c r="F146" s="71">
        <f>SUM(F104:F141)</f>
        <v>17501.84</v>
      </c>
      <c r="G146" s="72">
        <f>SUM(G104:G141)</f>
        <v>12960.990000000002</v>
      </c>
      <c r="I146" s="79">
        <f>SUM(I105:I141)</f>
        <v>31492.52</v>
      </c>
      <c r="K146" s="53">
        <f>F146+G146+I146</f>
        <v>61955.350000000006</v>
      </c>
    </row>
    <row r="147" spans="2:11">
      <c r="D147" s="62"/>
    </row>
    <row r="148" spans="2:11">
      <c r="B148" s="43" t="s">
        <v>1169</v>
      </c>
      <c r="C148" s="73" t="s">
        <v>1170</v>
      </c>
      <c r="D148" s="74">
        <v>465896.33</v>
      </c>
      <c r="E148" s="68"/>
      <c r="F148" s="68"/>
    </row>
    <row r="149" spans="2:11">
      <c r="B149" s="43" t="s">
        <v>1172</v>
      </c>
      <c r="C149" s="73" t="s">
        <v>1173</v>
      </c>
      <c r="D149" s="74">
        <v>22374</v>
      </c>
      <c r="E149" s="68"/>
      <c r="F149" s="68"/>
    </row>
    <row r="150" spans="2:11">
      <c r="B150" s="54">
        <v>1</v>
      </c>
      <c r="C150" s="75" t="s">
        <v>1174</v>
      </c>
      <c r="D150" s="76">
        <v>20340</v>
      </c>
      <c r="E150" s="69"/>
      <c r="F150" s="69"/>
    </row>
    <row r="151" spans="2:11">
      <c r="B151" s="54">
        <v>2</v>
      </c>
      <c r="C151" s="75" t="s">
        <v>1922</v>
      </c>
      <c r="D151" s="76">
        <v>678</v>
      </c>
      <c r="E151" s="69"/>
      <c r="F151" s="69"/>
    </row>
    <row r="152" spans="2:11">
      <c r="B152" s="54">
        <v>3</v>
      </c>
      <c r="C152" s="75" t="s">
        <v>1923</v>
      </c>
      <c r="D152" s="76">
        <v>1356</v>
      </c>
      <c r="E152" s="69"/>
      <c r="F152" s="69"/>
    </row>
    <row r="153" spans="2:11">
      <c r="B153" s="43" t="s">
        <v>1177</v>
      </c>
      <c r="C153" s="73" t="s">
        <v>1178</v>
      </c>
      <c r="D153" s="74">
        <v>1461.28</v>
      </c>
      <c r="E153" s="68"/>
      <c r="F153" s="68"/>
    </row>
    <row r="154" spans="2:11">
      <c r="B154" s="43" t="s">
        <v>1179</v>
      </c>
      <c r="C154" s="73" t="s">
        <v>1180</v>
      </c>
      <c r="D154" s="74">
        <v>489731.62</v>
      </c>
      <c r="E154" s="68"/>
      <c r="F154" s="68"/>
    </row>
  </sheetData>
  <mergeCells count="7">
    <mergeCell ref="K4:K5"/>
    <mergeCell ref="D4:G4"/>
    <mergeCell ref="H4:J4"/>
    <mergeCell ref="H5:I5"/>
    <mergeCell ref="H6:J6"/>
    <mergeCell ref="B4:B5"/>
    <mergeCell ref="C4:C5"/>
  </mergeCells>
  <pageMargins left="0.69930555555555596" right="0.69930555555555596"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D4:G31"/>
  <sheetViews>
    <sheetView topLeftCell="A12" workbookViewId="0">
      <selection sqref="A1:Q1"/>
    </sheetView>
  </sheetViews>
  <sheetFormatPr defaultColWidth="9" defaultRowHeight="14.4"/>
  <cols>
    <col min="4" max="4" width="45.77734375" customWidth="1"/>
    <col min="5" max="6" width="22.5546875" customWidth="1"/>
  </cols>
  <sheetData>
    <row r="4" spans="4:6" ht="15.6">
      <c r="D4" s="1"/>
      <c r="E4" s="1288" t="s">
        <v>523</v>
      </c>
      <c r="F4" s="1288"/>
    </row>
    <row r="5" spans="4:6" ht="15.6">
      <c r="D5" s="2" t="s">
        <v>1467</v>
      </c>
      <c r="E5" s="3" t="s">
        <v>1929</v>
      </c>
      <c r="F5" s="4" t="s">
        <v>1930</v>
      </c>
    </row>
    <row r="6" spans="4:6" ht="16.2">
      <c r="D6" s="5" t="s">
        <v>1931</v>
      </c>
      <c r="E6" s="6"/>
    </row>
    <row r="7" spans="4:6" ht="15.6">
      <c r="D7" s="7" t="s">
        <v>1932</v>
      </c>
      <c r="E7" s="8">
        <f>'20231019可研预算'!H97</f>
        <v>54208.174885827131</v>
      </c>
      <c r="F7" s="8">
        <f>E7/7.12</f>
        <v>7613.5077086835854</v>
      </c>
    </row>
    <row r="8" spans="4:6" ht="15.6">
      <c r="D8" s="7" t="s">
        <v>1933</v>
      </c>
      <c r="E8" s="8">
        <f>'20231019可研预算'!H98</f>
        <v>107283.84275691411</v>
      </c>
      <c r="F8" s="8">
        <f t="shared" ref="F8:F16" si="0">E8/7.12</f>
        <v>15067.955443386812</v>
      </c>
    </row>
    <row r="9" spans="4:6" ht="15.6">
      <c r="D9" s="7" t="s">
        <v>1934</v>
      </c>
      <c r="E9" s="8">
        <f>'20231019可研预算'!H99</f>
        <v>111189.44638166015</v>
      </c>
      <c r="F9" s="8">
        <f t="shared" si="0"/>
        <v>15616.495278323055</v>
      </c>
    </row>
    <row r="10" spans="4:6" ht="15.6">
      <c r="D10" s="7" t="s">
        <v>1935</v>
      </c>
      <c r="E10" s="8">
        <f>'20231019可研预算'!H100</f>
        <v>77040.056232033618</v>
      </c>
      <c r="F10" s="8">
        <f t="shared" si="0"/>
        <v>10820.232616858653</v>
      </c>
    </row>
    <row r="11" spans="4:6" ht="15.6">
      <c r="D11" s="7" t="s">
        <v>1936</v>
      </c>
      <c r="E11" s="8">
        <f>'20231019可研预算'!H101</f>
        <v>79534.329743565002</v>
      </c>
      <c r="F11" s="8">
        <f t="shared" si="0"/>
        <v>11170.551930275984</v>
      </c>
    </row>
    <row r="12" spans="4:6" ht="15.6">
      <c r="D12" s="7" t="s">
        <v>1937</v>
      </c>
      <c r="E12" s="8">
        <v>2000</v>
      </c>
      <c r="F12" s="8">
        <f t="shared" si="0"/>
        <v>280.89887640449439</v>
      </c>
    </row>
    <row r="13" spans="4:6" ht="15.6">
      <c r="D13" s="9" t="s">
        <v>1938</v>
      </c>
      <c r="E13" s="10">
        <f>SUM(E7:E12)</f>
        <v>431255.85000000003</v>
      </c>
      <c r="F13" s="10">
        <f t="shared" si="0"/>
        <v>60569.64185393259</v>
      </c>
    </row>
    <row r="14" spans="4:6" ht="16.2">
      <c r="D14" s="5" t="s">
        <v>1939</v>
      </c>
      <c r="E14" s="11">
        <f>E13*0.08</f>
        <v>34500.468000000001</v>
      </c>
      <c r="F14" s="10">
        <f t="shared" si="0"/>
        <v>4845.5713483146064</v>
      </c>
    </row>
    <row r="15" spans="4:6" ht="16.2">
      <c r="D15" s="5" t="s">
        <v>1940</v>
      </c>
      <c r="E15" s="11">
        <f>'20231019可研预算'!D149</f>
        <v>22374</v>
      </c>
      <c r="F15" s="10">
        <f t="shared" si="0"/>
        <v>3142.4157303370785</v>
      </c>
    </row>
    <row r="16" spans="4:6" ht="15.6">
      <c r="D16" s="12" t="s">
        <v>1941</v>
      </c>
      <c r="E16" s="13">
        <f>E13+E14+E15</f>
        <v>488130.31800000003</v>
      </c>
      <c r="F16" s="14">
        <f t="shared" si="0"/>
        <v>68557.628932584266</v>
      </c>
    </row>
    <row r="19" spans="4:7">
      <c r="D19" s="15"/>
      <c r="E19" s="1289" t="s">
        <v>1942</v>
      </c>
      <c r="F19" s="1289"/>
      <c r="G19" s="16"/>
    </row>
    <row r="20" spans="4:7">
      <c r="D20" s="17" t="s">
        <v>1943</v>
      </c>
      <c r="E20" s="18" t="s">
        <v>1944</v>
      </c>
      <c r="F20" s="18" t="s">
        <v>1945</v>
      </c>
      <c r="G20" s="19" t="s">
        <v>1764</v>
      </c>
    </row>
    <row r="21" spans="4:7">
      <c r="D21" s="20" t="s">
        <v>1946</v>
      </c>
      <c r="E21" s="21">
        <f>F21*7.12</f>
        <v>284800</v>
      </c>
      <c r="F21" s="21">
        <v>40000</v>
      </c>
      <c r="G21" s="22">
        <f>F21/F23</f>
        <v>0.58345074972376532</v>
      </c>
    </row>
    <row r="22" spans="4:7">
      <c r="D22" s="23" t="s">
        <v>1947</v>
      </c>
      <c r="E22" s="21">
        <f>E16-E21</f>
        <v>203330.31800000003</v>
      </c>
      <c r="F22" s="21">
        <f>E22/7.12</f>
        <v>28557.628932584274</v>
      </c>
      <c r="G22" s="22">
        <f>F22/F23</f>
        <v>0.41654925027623463</v>
      </c>
    </row>
    <row r="23" spans="4:7">
      <c r="D23" s="24" t="s">
        <v>523</v>
      </c>
      <c r="E23" s="25">
        <f>SUM(E21:E22)</f>
        <v>488130.31800000003</v>
      </c>
      <c r="F23" s="25">
        <f>SUM(F21:F22)</f>
        <v>68557.628932584281</v>
      </c>
      <c r="G23" s="26">
        <f>SUM(G21:G22)</f>
        <v>1</v>
      </c>
    </row>
    <row r="24" spans="4:7">
      <c r="D24" s="20"/>
      <c r="E24" s="21"/>
      <c r="F24" s="21"/>
      <c r="G24" s="27"/>
    </row>
    <row r="25" spans="4:7">
      <c r="D25" s="20"/>
      <c r="E25" s="21"/>
      <c r="F25" s="21"/>
      <c r="G25" s="27"/>
    </row>
    <row r="26" spans="4:7">
      <c r="D26" s="20"/>
      <c r="E26" s="21"/>
      <c r="F26" s="21"/>
      <c r="G26" s="27"/>
    </row>
    <row r="27" spans="4:7">
      <c r="D27" s="20"/>
      <c r="E27" s="21"/>
      <c r="F27" s="21"/>
      <c r="G27" s="27"/>
    </row>
    <row r="28" spans="4:7">
      <c r="E28" s="27"/>
      <c r="F28" s="27"/>
      <c r="G28" s="27"/>
    </row>
    <row r="29" spans="4:7">
      <c r="E29" s="27"/>
      <c r="F29" s="27"/>
      <c r="G29" s="27"/>
    </row>
    <row r="30" spans="4:7">
      <c r="E30" s="27"/>
      <c r="F30" s="27"/>
      <c r="G30" s="27"/>
    </row>
    <row r="31" spans="4:7">
      <c r="E31" s="27"/>
      <c r="F31" s="27"/>
      <c r="G31" s="27"/>
    </row>
  </sheetData>
  <mergeCells count="2">
    <mergeCell ref="E4:F4"/>
    <mergeCell ref="E19:F19"/>
  </mergeCells>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54"/>
  <sheetViews>
    <sheetView zoomScale="65" zoomScaleNormal="65" workbookViewId="0">
      <pane xSplit="2" ySplit="6" topLeftCell="C326" activePane="bottomRight" state="frozen"/>
      <selection pane="topRight"/>
      <selection pane="bottomLeft"/>
      <selection pane="bottomRight" sqref="A1:S1"/>
    </sheetView>
  </sheetViews>
  <sheetFormatPr defaultColWidth="9" defaultRowHeight="14.4"/>
  <cols>
    <col min="1" max="1" width="12.44140625" style="662" customWidth="1"/>
    <col min="2" max="2" width="23.21875" style="662" customWidth="1"/>
    <col min="3" max="3" width="78.44140625" style="662" customWidth="1"/>
    <col min="4" max="4" width="12.5546875" style="663" customWidth="1"/>
    <col min="5" max="5" width="10.77734375" style="664" customWidth="1"/>
    <col min="6" max="6" width="11.33203125" style="663" customWidth="1"/>
    <col min="7" max="7" width="8.33203125" style="662" customWidth="1"/>
    <col min="8" max="8" width="11" style="662" customWidth="1"/>
    <col min="9" max="9" width="6.77734375" style="662" customWidth="1"/>
    <col min="10" max="10" width="6" style="662" customWidth="1"/>
    <col min="11" max="11" width="9" style="662" hidden="1" customWidth="1"/>
    <col min="12" max="12" width="5.88671875" style="662" customWidth="1"/>
    <col min="13" max="14" width="9" style="662" customWidth="1"/>
    <col min="15" max="16" width="8.88671875" style="662" customWidth="1"/>
    <col min="17" max="17" width="9.33203125" style="665" customWidth="1"/>
    <col min="18" max="18" width="8.5546875" style="662" customWidth="1"/>
    <col min="19" max="19" width="8.77734375" style="662"/>
  </cols>
  <sheetData>
    <row r="1" spans="1:19" s="955" customFormat="1" ht="18">
      <c r="A1" s="1071" t="s">
        <v>105</v>
      </c>
      <c r="B1" s="1071"/>
      <c r="C1" s="1072"/>
      <c r="D1" s="1072"/>
      <c r="E1" s="1072"/>
      <c r="F1" s="1072"/>
      <c r="G1" s="1072"/>
      <c r="H1" s="1072"/>
      <c r="I1" s="1072"/>
      <c r="J1" s="1072"/>
      <c r="K1" s="1072"/>
      <c r="L1" s="1072"/>
      <c r="M1" s="1072"/>
      <c r="N1" s="1072"/>
      <c r="O1" s="1072"/>
      <c r="P1" s="1072"/>
      <c r="Q1" s="1072"/>
      <c r="R1" s="1072"/>
      <c r="S1" s="1072"/>
    </row>
    <row r="2" spans="1:19" ht="27.6">
      <c r="A2" s="666" t="s">
        <v>106</v>
      </c>
      <c r="B2" s="769" t="s">
        <v>107</v>
      </c>
      <c r="C2" s="668"/>
      <c r="D2" s="669"/>
      <c r="F2" s="669"/>
      <c r="G2" s="670"/>
      <c r="H2" s="670"/>
      <c r="I2" s="670"/>
      <c r="J2" s="670"/>
      <c r="K2" s="670"/>
      <c r="L2" s="670"/>
      <c r="M2" s="670"/>
      <c r="N2" s="670"/>
      <c r="O2" s="670"/>
      <c r="P2" s="670"/>
      <c r="Q2" s="702"/>
      <c r="R2" s="670"/>
    </row>
    <row r="3" spans="1:19">
      <c r="A3" s="671">
        <v>7.11</v>
      </c>
      <c r="B3" s="672">
        <v>45394</v>
      </c>
      <c r="C3" s="673"/>
      <c r="D3" s="674"/>
      <c r="E3" s="675"/>
      <c r="F3" s="674"/>
      <c r="G3" s="676"/>
      <c r="H3" s="676"/>
      <c r="I3" s="676"/>
      <c r="J3" s="676"/>
      <c r="K3" s="676"/>
      <c r="L3" s="676"/>
      <c r="M3" s="676"/>
      <c r="N3" s="676"/>
      <c r="O3" s="676"/>
      <c r="P3" s="676"/>
      <c r="Q3" s="703"/>
      <c r="R3" s="676"/>
      <c r="S3" s="704"/>
    </row>
    <row r="4" spans="1:19">
      <c r="A4" s="1085" t="s">
        <v>108</v>
      </c>
      <c r="B4" s="1085" t="s">
        <v>109</v>
      </c>
      <c r="C4" s="1085" t="s">
        <v>110</v>
      </c>
      <c r="D4" s="1073" t="s">
        <v>111</v>
      </c>
      <c r="E4" s="1074"/>
      <c r="F4" s="956" t="s">
        <v>112</v>
      </c>
      <c r="G4" s="1087" t="s">
        <v>113</v>
      </c>
      <c r="H4" s="1087" t="s">
        <v>114</v>
      </c>
      <c r="I4" s="1088" t="s">
        <v>115</v>
      </c>
      <c r="J4" s="1090" t="s">
        <v>116</v>
      </c>
      <c r="K4" s="1092" t="s">
        <v>117</v>
      </c>
      <c r="L4" s="1088" t="s">
        <v>118</v>
      </c>
      <c r="M4" s="1099" t="s">
        <v>119</v>
      </c>
      <c r="N4" s="1099"/>
      <c r="O4" s="1090" t="s">
        <v>120</v>
      </c>
      <c r="P4" s="1088" t="s">
        <v>121</v>
      </c>
      <c r="Q4" s="1096" t="s">
        <v>122</v>
      </c>
      <c r="R4" s="1090" t="s">
        <v>123</v>
      </c>
      <c r="S4" s="1085" t="s">
        <v>124</v>
      </c>
    </row>
    <row r="5" spans="1:19" ht="26.4">
      <c r="A5" s="1086"/>
      <c r="B5" s="1086"/>
      <c r="C5" s="1086"/>
      <c r="D5" s="770" t="s">
        <v>125</v>
      </c>
      <c r="E5" s="771" t="s">
        <v>126</v>
      </c>
      <c r="F5" s="773" t="s">
        <v>127</v>
      </c>
      <c r="G5" s="1087"/>
      <c r="H5" s="1087"/>
      <c r="I5" s="1089"/>
      <c r="J5" s="1091"/>
      <c r="K5" s="1093"/>
      <c r="L5" s="1089"/>
      <c r="M5" s="1099"/>
      <c r="N5" s="1099"/>
      <c r="O5" s="1094"/>
      <c r="P5" s="1095"/>
      <c r="Q5" s="1097"/>
      <c r="R5" s="1094"/>
      <c r="S5" s="1098"/>
    </row>
    <row r="6" spans="1:19">
      <c r="A6" s="756" t="s">
        <v>128</v>
      </c>
      <c r="B6" s="774" t="s">
        <v>129</v>
      </c>
      <c r="C6" s="680"/>
      <c r="D6" s="681"/>
      <c r="E6" s="682"/>
      <c r="F6" s="681"/>
      <c r="G6" s="680"/>
      <c r="H6" s="680"/>
      <c r="I6" s="680"/>
      <c r="J6" s="680"/>
      <c r="K6" s="680"/>
      <c r="L6" s="680"/>
      <c r="M6" s="680"/>
      <c r="N6" s="680"/>
      <c r="O6" s="680"/>
      <c r="P6" s="680"/>
      <c r="Q6" s="705"/>
      <c r="R6" s="680"/>
      <c r="S6" s="706"/>
    </row>
    <row r="7" spans="1:19" ht="16.05" customHeight="1">
      <c r="A7" s="775" t="s">
        <v>130</v>
      </c>
      <c r="B7" s="782" t="s">
        <v>131</v>
      </c>
      <c r="C7" s="709" t="s">
        <v>132</v>
      </c>
      <c r="D7" s="710">
        <f>SUM(D8,D21,D29)</f>
        <v>6876.7533184221402</v>
      </c>
      <c r="E7" s="712">
        <f>D7/A3</f>
        <v>967.19455955304363</v>
      </c>
      <c r="F7" s="920">
        <v>1</v>
      </c>
      <c r="G7" s="606" t="s">
        <v>133</v>
      </c>
      <c r="H7" s="606" t="s">
        <v>30</v>
      </c>
      <c r="I7" s="606">
        <v>18</v>
      </c>
      <c r="J7" s="697" t="s">
        <v>134</v>
      </c>
      <c r="K7" s="606" t="s">
        <v>135</v>
      </c>
      <c r="L7" s="780"/>
      <c r="M7" s="606"/>
      <c r="N7" s="606"/>
      <c r="O7" s="738">
        <v>2025.3</v>
      </c>
      <c r="P7" s="738">
        <v>2025.4</v>
      </c>
      <c r="Q7" s="738" t="s">
        <v>136</v>
      </c>
      <c r="R7" s="738" t="s">
        <v>137</v>
      </c>
      <c r="S7" s="697"/>
    </row>
    <row r="8" spans="1:19" hidden="1">
      <c r="A8" s="957">
        <v>1.1000000000000001</v>
      </c>
      <c r="B8" s="925" t="s">
        <v>138</v>
      </c>
      <c r="C8" s="922" t="s">
        <v>139</v>
      </c>
      <c r="D8" s="923">
        <f>'[2]总投资-发采购-0411-GLP拆分场外费用(司调)'!G7</f>
        <v>5931.3338184221402</v>
      </c>
      <c r="E8" s="924"/>
      <c r="F8" s="920">
        <v>1</v>
      </c>
      <c r="G8" s="921"/>
      <c r="H8" s="921"/>
      <c r="I8" s="921"/>
      <c r="J8" s="931"/>
      <c r="K8" s="921"/>
      <c r="L8" s="780"/>
      <c r="M8" s="921"/>
      <c r="N8" s="921"/>
      <c r="O8" s="930"/>
      <c r="P8" s="930"/>
      <c r="Q8" s="930"/>
      <c r="R8" s="930"/>
      <c r="S8" s="931"/>
    </row>
    <row r="9" spans="1:19" hidden="1">
      <c r="A9" s="957" t="s">
        <v>140</v>
      </c>
      <c r="B9" s="925"/>
      <c r="C9" s="922" t="s">
        <v>141</v>
      </c>
      <c r="D9" s="923">
        <f>'[2]总投资-发采购-0411-GLP拆分场外费用(司调)'!G8</f>
        <v>4137.5599067698404</v>
      </c>
      <c r="E9" s="924"/>
      <c r="F9" s="920">
        <v>1</v>
      </c>
      <c r="G9" s="921"/>
      <c r="H9" s="921"/>
      <c r="I9" s="921"/>
      <c r="J9" s="931"/>
      <c r="K9" s="921"/>
      <c r="L9" s="780"/>
      <c r="M9" s="921"/>
      <c r="N9" s="921"/>
      <c r="O9" s="930"/>
      <c r="P9" s="930"/>
      <c r="Q9" s="930"/>
      <c r="R9" s="930"/>
      <c r="S9" s="931"/>
    </row>
    <row r="10" spans="1:19" hidden="1">
      <c r="A10" s="957" t="s">
        <v>142</v>
      </c>
      <c r="B10" s="925"/>
      <c r="C10" s="922" t="s">
        <v>143</v>
      </c>
      <c r="D10" s="923">
        <f>'[2]总投资-发采购-0411-GLP拆分场外费用(司调)'!G9</f>
        <v>13.96608</v>
      </c>
      <c r="E10" s="924"/>
      <c r="F10" s="920">
        <v>1</v>
      </c>
      <c r="G10" s="921"/>
      <c r="H10" s="921"/>
      <c r="I10" s="921"/>
      <c r="J10" s="931"/>
      <c r="K10" s="921"/>
      <c r="L10" s="780"/>
      <c r="M10" s="921"/>
      <c r="N10" s="921"/>
      <c r="O10" s="930"/>
      <c r="P10" s="930"/>
      <c r="Q10" s="930"/>
      <c r="R10" s="930"/>
      <c r="S10" s="931"/>
    </row>
    <row r="11" spans="1:19" hidden="1">
      <c r="A11" s="957" t="s">
        <v>144</v>
      </c>
      <c r="B11" s="925"/>
      <c r="C11" s="922" t="s">
        <v>145</v>
      </c>
      <c r="D11" s="923">
        <f>'[2]总投资-发采购-0411-GLP拆分场外费用(司调)'!G10</f>
        <v>125.69472</v>
      </c>
      <c r="E11" s="924"/>
      <c r="F11" s="920">
        <v>1</v>
      </c>
      <c r="G11" s="921"/>
      <c r="H11" s="921"/>
      <c r="I11" s="921"/>
      <c r="J11" s="931"/>
      <c r="K11" s="921"/>
      <c r="L11" s="780"/>
      <c r="M11" s="921"/>
      <c r="N11" s="921"/>
      <c r="O11" s="930"/>
      <c r="P11" s="930"/>
      <c r="Q11" s="930"/>
      <c r="R11" s="930"/>
      <c r="S11" s="931"/>
    </row>
    <row r="12" spans="1:19" hidden="1">
      <c r="A12" s="957" t="s">
        <v>146</v>
      </c>
      <c r="B12" s="925"/>
      <c r="C12" s="922" t="s">
        <v>147</v>
      </c>
      <c r="D12" s="923">
        <f>'[2]总投资-发采购-0411-GLP拆分场外费用(司调)'!G11</f>
        <v>97.762559999999993</v>
      </c>
      <c r="E12" s="924"/>
      <c r="F12" s="920">
        <v>1</v>
      </c>
      <c r="G12" s="921"/>
      <c r="H12" s="921"/>
      <c r="I12" s="921"/>
      <c r="J12" s="931"/>
      <c r="K12" s="921"/>
      <c r="L12" s="780"/>
      <c r="M12" s="921"/>
      <c r="N12" s="921"/>
      <c r="O12" s="930"/>
      <c r="P12" s="930"/>
      <c r="Q12" s="930"/>
      <c r="R12" s="930"/>
      <c r="S12" s="931"/>
    </row>
    <row r="13" spans="1:19" hidden="1">
      <c r="A13" s="957" t="s">
        <v>148</v>
      </c>
      <c r="B13" s="925"/>
      <c r="C13" s="922" t="s">
        <v>149</v>
      </c>
      <c r="D13" s="923">
        <f>'[2]总投资-发采购-0411-GLP拆分场外费用(司调)'!G12</f>
        <v>216.47424000000001</v>
      </c>
      <c r="E13" s="924"/>
      <c r="F13" s="920">
        <v>1</v>
      </c>
      <c r="G13" s="921"/>
      <c r="H13" s="921"/>
      <c r="I13" s="921"/>
      <c r="J13" s="931"/>
      <c r="K13" s="921"/>
      <c r="L13" s="780"/>
      <c r="M13" s="921"/>
      <c r="N13" s="921"/>
      <c r="O13" s="930"/>
      <c r="P13" s="930"/>
      <c r="Q13" s="930"/>
      <c r="R13" s="930"/>
      <c r="S13" s="931"/>
    </row>
    <row r="14" spans="1:19" hidden="1">
      <c r="A14" s="957" t="s">
        <v>150</v>
      </c>
      <c r="B14" s="925"/>
      <c r="C14" s="922" t="s">
        <v>151</v>
      </c>
      <c r="D14" s="923">
        <f>'[2]总投资-发采购-0411-GLP拆分场外费用(司调)'!G13</f>
        <v>59.652501722990401</v>
      </c>
      <c r="E14" s="924"/>
      <c r="F14" s="920">
        <v>1</v>
      </c>
      <c r="G14" s="921"/>
      <c r="H14" s="921"/>
      <c r="I14" s="921"/>
      <c r="J14" s="931"/>
      <c r="K14" s="921"/>
      <c r="L14" s="780"/>
      <c r="M14" s="921"/>
      <c r="N14" s="921"/>
      <c r="O14" s="930"/>
      <c r="P14" s="930"/>
      <c r="Q14" s="930"/>
      <c r="R14" s="930"/>
      <c r="S14" s="931"/>
    </row>
    <row r="15" spans="1:19" hidden="1">
      <c r="A15" s="957" t="s">
        <v>152</v>
      </c>
      <c r="B15" s="925"/>
      <c r="C15" s="922" t="s">
        <v>153</v>
      </c>
      <c r="D15" s="923">
        <f>'[2]总投资-发采购-0411-GLP拆分场外费用(司调)'!G14</f>
        <v>218.22</v>
      </c>
      <c r="E15" s="924"/>
      <c r="F15" s="920">
        <v>1</v>
      </c>
      <c r="G15" s="921"/>
      <c r="H15" s="921"/>
      <c r="I15" s="921"/>
      <c r="J15" s="931"/>
      <c r="K15" s="921"/>
      <c r="L15" s="780"/>
      <c r="M15" s="921"/>
      <c r="N15" s="921"/>
      <c r="O15" s="930"/>
      <c r="P15" s="930"/>
      <c r="Q15" s="930"/>
      <c r="R15" s="930"/>
      <c r="S15" s="931"/>
    </row>
    <row r="16" spans="1:19" hidden="1">
      <c r="A16" s="957" t="s">
        <v>154</v>
      </c>
      <c r="B16" s="925"/>
      <c r="C16" s="922" t="s">
        <v>155</v>
      </c>
      <c r="D16" s="923">
        <f>'[2]总投资-发采购-0411-GLP拆分场外费用(司调)'!G15</f>
        <v>1024.0038099293099</v>
      </c>
      <c r="E16" s="924"/>
      <c r="F16" s="920">
        <v>1</v>
      </c>
      <c r="G16" s="921"/>
      <c r="H16" s="921"/>
      <c r="I16" s="921"/>
      <c r="J16" s="931"/>
      <c r="K16" s="921"/>
      <c r="L16" s="780"/>
      <c r="M16" s="921"/>
      <c r="N16" s="921"/>
      <c r="O16" s="930"/>
      <c r="P16" s="930"/>
      <c r="Q16" s="930"/>
      <c r="R16" s="930"/>
      <c r="S16" s="931"/>
    </row>
    <row r="17" spans="1:19" hidden="1">
      <c r="A17" s="957" t="s">
        <v>154</v>
      </c>
      <c r="B17" s="925"/>
      <c r="C17" s="922" t="s">
        <v>156</v>
      </c>
      <c r="D17" s="923">
        <f>'[2]总投资-发采购-0411-GLP拆分场外费用(司调)'!G16</f>
        <v>38</v>
      </c>
      <c r="E17" s="924"/>
      <c r="F17" s="920">
        <v>1</v>
      </c>
      <c r="G17" s="921"/>
      <c r="H17" s="921"/>
      <c r="I17" s="921"/>
      <c r="J17" s="931"/>
      <c r="K17" s="921"/>
      <c r="L17" s="780"/>
      <c r="M17" s="921"/>
      <c r="N17" s="921"/>
      <c r="O17" s="930"/>
      <c r="P17" s="930"/>
      <c r="Q17" s="930"/>
      <c r="R17" s="930"/>
      <c r="S17" s="931"/>
    </row>
    <row r="18" spans="1:19" hidden="1">
      <c r="A18" s="957"/>
      <c r="B18" s="925"/>
      <c r="C18" s="922" t="s">
        <v>157</v>
      </c>
      <c r="D18" s="923">
        <f>'[2]总投资-发采购-0411-GLP拆分场外费用(司调)'!G17</f>
        <v>1</v>
      </c>
      <c r="E18" s="924"/>
      <c r="F18" s="920">
        <v>1</v>
      </c>
      <c r="G18" s="921"/>
      <c r="H18" s="921"/>
      <c r="I18" s="921"/>
      <c r="J18" s="931"/>
      <c r="K18" s="921"/>
      <c r="L18" s="780"/>
      <c r="M18" s="921"/>
      <c r="N18" s="921"/>
      <c r="O18" s="930"/>
      <c r="P18" s="930"/>
      <c r="Q18" s="930"/>
      <c r="R18" s="930"/>
      <c r="S18" s="931"/>
    </row>
    <row r="19" spans="1:19" hidden="1">
      <c r="A19" s="957"/>
      <c r="B19" s="925"/>
      <c r="C19" s="922" t="s">
        <v>158</v>
      </c>
      <c r="D19" s="923">
        <f>'[2]总投资-发采购-0411-GLP拆分场外费用(司调)'!G18</f>
        <v>4</v>
      </c>
      <c r="E19" s="924"/>
      <c r="F19" s="920">
        <v>1</v>
      </c>
      <c r="G19" s="921"/>
      <c r="H19" s="921"/>
      <c r="I19" s="921"/>
      <c r="J19" s="931"/>
      <c r="K19" s="921"/>
      <c r="L19" s="780"/>
      <c r="M19" s="921"/>
      <c r="N19" s="921"/>
      <c r="O19" s="930"/>
      <c r="P19" s="930"/>
      <c r="Q19" s="930"/>
      <c r="R19" s="930"/>
      <c r="S19" s="931"/>
    </row>
    <row r="20" spans="1:19" hidden="1">
      <c r="A20" s="957"/>
      <c r="B20" s="926"/>
      <c r="C20" s="927" t="s">
        <v>159</v>
      </c>
      <c r="D20" s="923">
        <f>'[2]总投资-发采购-0411-GLP拆分场外费用(司调)'!G19</f>
        <v>33</v>
      </c>
      <c r="E20" s="928"/>
      <c r="F20" s="920">
        <v>1</v>
      </c>
      <c r="G20" s="921"/>
      <c r="H20" s="921"/>
      <c r="I20" s="921"/>
      <c r="J20" s="931"/>
      <c r="K20" s="921"/>
      <c r="L20" s="780"/>
      <c r="M20" s="921"/>
      <c r="N20" s="921"/>
      <c r="O20" s="930"/>
      <c r="P20" s="930"/>
      <c r="Q20" s="930"/>
      <c r="R20" s="930"/>
      <c r="S20" s="931"/>
    </row>
    <row r="21" spans="1:19" hidden="1">
      <c r="A21" s="957" t="s">
        <v>160</v>
      </c>
      <c r="B21" s="925"/>
      <c r="C21" s="929" t="s">
        <v>161</v>
      </c>
      <c r="D21" s="923">
        <f>'[2]总投资-发采购-0411-GLP拆分场外费用(司调)'!G20</f>
        <v>481.61950000000002</v>
      </c>
      <c r="E21" s="928"/>
      <c r="F21" s="920">
        <v>1</v>
      </c>
      <c r="G21" s="921"/>
      <c r="H21" s="921"/>
      <c r="I21" s="921"/>
      <c r="J21" s="931"/>
      <c r="K21" s="921"/>
      <c r="L21" s="780"/>
      <c r="M21" s="921"/>
      <c r="N21" s="921"/>
      <c r="O21" s="930"/>
      <c r="P21" s="930"/>
      <c r="Q21" s="930"/>
      <c r="R21" s="930"/>
      <c r="S21" s="931"/>
    </row>
    <row r="22" spans="1:19" hidden="1">
      <c r="A22" s="957" t="s">
        <v>162</v>
      </c>
      <c r="B22" s="925"/>
      <c r="C22" s="929" t="s">
        <v>163</v>
      </c>
      <c r="D22" s="923">
        <f>'[2]总投资-发采购-0411-GLP拆分场外费用(司调)'!G21</f>
        <v>3.3214999999999999</v>
      </c>
      <c r="E22" s="928"/>
      <c r="F22" s="920">
        <v>1</v>
      </c>
      <c r="G22" s="921"/>
      <c r="H22" s="921"/>
      <c r="I22" s="921"/>
      <c r="J22" s="931"/>
      <c r="K22" s="921"/>
      <c r="L22" s="780"/>
      <c r="M22" s="921"/>
      <c r="N22" s="921"/>
      <c r="O22" s="930"/>
      <c r="P22" s="930"/>
      <c r="Q22" s="930"/>
      <c r="R22" s="930"/>
      <c r="S22" s="931"/>
    </row>
    <row r="23" spans="1:19" hidden="1">
      <c r="A23" s="957" t="s">
        <v>164</v>
      </c>
      <c r="B23" s="925"/>
      <c r="C23" s="929" t="s">
        <v>165</v>
      </c>
      <c r="D23" s="923">
        <f>'[2]总投资-发采购-0411-GLP拆分场外费用(司调)'!G22</f>
        <v>455.52</v>
      </c>
      <c r="E23" s="928"/>
      <c r="F23" s="920">
        <v>1</v>
      </c>
      <c r="G23" s="921"/>
      <c r="H23" s="921"/>
      <c r="I23" s="921"/>
      <c r="J23" s="931"/>
      <c r="K23" s="921"/>
      <c r="L23" s="780"/>
      <c r="M23" s="921"/>
      <c r="N23" s="921"/>
      <c r="O23" s="930"/>
      <c r="P23" s="930"/>
      <c r="Q23" s="930"/>
      <c r="R23" s="930"/>
      <c r="S23" s="931"/>
    </row>
    <row r="24" spans="1:19" hidden="1">
      <c r="A24" s="957" t="s">
        <v>166</v>
      </c>
      <c r="B24" s="925"/>
      <c r="C24" s="929" t="s">
        <v>167</v>
      </c>
      <c r="D24" s="923">
        <f>'[2]总投资-发采购-0411-GLP拆分场外费用(司调)'!G23</f>
        <v>2.847</v>
      </c>
      <c r="E24" s="928"/>
      <c r="F24" s="920">
        <v>1</v>
      </c>
      <c r="G24" s="921"/>
      <c r="H24" s="921"/>
      <c r="I24" s="921"/>
      <c r="J24" s="931"/>
      <c r="K24" s="921"/>
      <c r="L24" s="780"/>
      <c r="M24" s="921"/>
      <c r="N24" s="921"/>
      <c r="O24" s="930"/>
      <c r="P24" s="930"/>
      <c r="Q24" s="930"/>
      <c r="R24" s="930"/>
      <c r="S24" s="931"/>
    </row>
    <row r="25" spans="1:19" hidden="1">
      <c r="A25" s="957" t="s">
        <v>168</v>
      </c>
      <c r="B25" s="925"/>
      <c r="C25" s="929" t="s">
        <v>169</v>
      </c>
      <c r="D25" s="923">
        <f>'[2]总投资-发采购-0411-GLP拆分场外费用(司调)'!G24</f>
        <v>3.7959999999999998</v>
      </c>
      <c r="E25" s="928"/>
      <c r="F25" s="920">
        <v>1</v>
      </c>
      <c r="G25" s="921"/>
      <c r="H25" s="921"/>
      <c r="I25" s="921"/>
      <c r="J25" s="931"/>
      <c r="K25" s="921"/>
      <c r="L25" s="780"/>
      <c r="M25" s="921"/>
      <c r="N25" s="921"/>
      <c r="O25" s="930"/>
      <c r="P25" s="930"/>
      <c r="Q25" s="930"/>
      <c r="R25" s="930"/>
      <c r="S25" s="931"/>
    </row>
    <row r="26" spans="1:19" hidden="1">
      <c r="A26" s="957" t="s">
        <v>170</v>
      </c>
      <c r="B26" s="925"/>
      <c r="C26" s="929" t="s">
        <v>171</v>
      </c>
      <c r="D26" s="923">
        <f>'[2]总投资-发采购-0411-GLP拆分场外费用(司调)'!G25</f>
        <v>8.5410000000000004</v>
      </c>
      <c r="E26" s="928"/>
      <c r="F26" s="920">
        <v>1</v>
      </c>
      <c r="G26" s="921"/>
      <c r="H26" s="921"/>
      <c r="I26" s="921"/>
      <c r="J26" s="931"/>
      <c r="K26" s="921"/>
      <c r="L26" s="780"/>
      <c r="M26" s="921"/>
      <c r="N26" s="921"/>
      <c r="O26" s="930"/>
      <c r="P26" s="930"/>
      <c r="Q26" s="930"/>
      <c r="R26" s="930"/>
      <c r="S26" s="931"/>
    </row>
    <row r="27" spans="1:19" hidden="1">
      <c r="A27" s="957" t="s">
        <v>172</v>
      </c>
      <c r="B27" s="925"/>
      <c r="C27" s="929" t="s">
        <v>173</v>
      </c>
      <c r="D27" s="923">
        <f>'[2]总投资-发采购-0411-GLP拆分场外费用(司调)'!G26</f>
        <v>5.694</v>
      </c>
      <c r="E27" s="928"/>
      <c r="F27" s="920">
        <v>1</v>
      </c>
      <c r="G27" s="921"/>
      <c r="H27" s="921"/>
      <c r="I27" s="921"/>
      <c r="J27" s="931"/>
      <c r="K27" s="921"/>
      <c r="L27" s="780"/>
      <c r="M27" s="921"/>
      <c r="N27" s="921"/>
      <c r="O27" s="930"/>
      <c r="P27" s="930"/>
      <c r="Q27" s="930"/>
      <c r="R27" s="930"/>
      <c r="S27" s="931"/>
    </row>
    <row r="28" spans="1:19" hidden="1">
      <c r="A28" s="957" t="s">
        <v>174</v>
      </c>
      <c r="B28" s="926"/>
      <c r="C28" s="927" t="s">
        <v>175</v>
      </c>
      <c r="D28" s="923">
        <f>'[2]总投资-发采购-0411-GLP拆分场外费用(司调)'!G27</f>
        <v>1.9</v>
      </c>
      <c r="E28" s="928"/>
      <c r="F28" s="920">
        <v>1</v>
      </c>
      <c r="G28" s="921"/>
      <c r="H28" s="921"/>
      <c r="I28" s="921"/>
      <c r="J28" s="931"/>
      <c r="K28" s="921"/>
      <c r="L28" s="780"/>
      <c r="M28" s="921"/>
      <c r="N28" s="921"/>
      <c r="O28" s="930"/>
      <c r="P28" s="930"/>
      <c r="Q28" s="930"/>
      <c r="R28" s="930"/>
      <c r="S28" s="931"/>
    </row>
    <row r="29" spans="1:19" hidden="1">
      <c r="A29" s="957">
        <v>1.4</v>
      </c>
      <c r="B29" s="925"/>
      <c r="C29" s="927" t="s">
        <v>176</v>
      </c>
      <c r="D29" s="923">
        <f>'[2]总投资-发采购-0411-GLP拆分场外费用(司调)'!G28</f>
        <v>463.8</v>
      </c>
      <c r="E29" s="928"/>
      <c r="F29" s="920">
        <v>1</v>
      </c>
      <c r="G29" s="921"/>
      <c r="H29" s="921"/>
      <c r="I29" s="921"/>
      <c r="J29" s="931"/>
      <c r="K29" s="921"/>
      <c r="L29" s="780"/>
      <c r="M29" s="921"/>
      <c r="N29" s="921"/>
      <c r="O29" s="930"/>
      <c r="P29" s="930"/>
      <c r="Q29" s="930"/>
      <c r="R29" s="930"/>
      <c r="S29" s="931"/>
    </row>
    <row r="30" spans="1:19">
      <c r="A30" s="775" t="s">
        <v>177</v>
      </c>
      <c r="B30" s="709" t="s">
        <v>178</v>
      </c>
      <c r="C30" s="709" t="s">
        <v>179</v>
      </c>
      <c r="D30" s="710">
        <f>'[2]总投资-发采购-0411-GLP拆分场外费用(司调)'!G82</f>
        <v>13277.6976990773</v>
      </c>
      <c r="E30" s="711">
        <f>D30/$A$3</f>
        <v>1867.4680308125596</v>
      </c>
      <c r="F30" s="920">
        <v>1</v>
      </c>
      <c r="G30" s="606" t="s">
        <v>133</v>
      </c>
      <c r="H30" s="606" t="s">
        <v>30</v>
      </c>
      <c r="I30" s="606">
        <v>18</v>
      </c>
      <c r="J30" s="781" t="s">
        <v>180</v>
      </c>
      <c r="K30" s="606" t="s">
        <v>135</v>
      </c>
      <c r="L30" s="780"/>
      <c r="M30" s="606"/>
      <c r="N30" s="606"/>
      <c r="O30" s="738">
        <v>2025.3</v>
      </c>
      <c r="P30" s="738">
        <v>2025.4</v>
      </c>
      <c r="Q30" s="738" t="s">
        <v>181</v>
      </c>
      <c r="R30" s="738" t="s">
        <v>137</v>
      </c>
      <c r="S30" s="697"/>
    </row>
    <row r="31" spans="1:19" hidden="1">
      <c r="A31" s="957">
        <v>2.8</v>
      </c>
      <c r="B31" s="925" t="s">
        <v>182</v>
      </c>
      <c r="C31" s="709"/>
      <c r="D31" s="923">
        <f>'[2]总投资-发采购-0411-GLP拆分场外费用(司调)'!G82</f>
        <v>13277.6976990773</v>
      </c>
      <c r="E31" s="928">
        <f t="shared" ref="E31:E44" si="0">D31/$A$3</f>
        <v>1867.4680308125596</v>
      </c>
      <c r="F31" s="920">
        <v>1</v>
      </c>
      <c r="G31" s="606"/>
      <c r="H31" s="606"/>
      <c r="I31" s="606"/>
      <c r="J31" s="781" t="s">
        <v>180</v>
      </c>
      <c r="K31" s="606"/>
      <c r="L31" s="780"/>
      <c r="M31" s="606"/>
      <c r="N31" s="606"/>
      <c r="O31" s="738"/>
      <c r="P31" s="738"/>
      <c r="Q31" s="738"/>
      <c r="R31" s="738"/>
      <c r="S31" s="697"/>
    </row>
    <row r="32" spans="1:19" hidden="1">
      <c r="A32" s="957" t="s">
        <v>183</v>
      </c>
      <c r="B32" s="925" t="s">
        <v>141</v>
      </c>
      <c r="C32" s="709"/>
      <c r="D32" s="923">
        <f>'[2]总投资-发采购-0411-GLP拆分场外费用(司调)'!G83</f>
        <v>9630.4162214578791</v>
      </c>
      <c r="E32" s="928">
        <f t="shared" si="0"/>
        <v>1354.48892003627</v>
      </c>
      <c r="F32" s="920">
        <v>1</v>
      </c>
      <c r="G32" s="606"/>
      <c r="H32" s="606"/>
      <c r="I32" s="606"/>
      <c r="J32" s="781" t="s">
        <v>180</v>
      </c>
      <c r="K32" s="606"/>
      <c r="L32" s="780"/>
      <c r="M32" s="606"/>
      <c r="N32" s="606"/>
      <c r="O32" s="738"/>
      <c r="P32" s="738"/>
      <c r="Q32" s="738"/>
      <c r="R32" s="738"/>
      <c r="S32" s="697"/>
    </row>
    <row r="33" spans="1:19" hidden="1">
      <c r="A33" s="957" t="s">
        <v>184</v>
      </c>
      <c r="B33" s="925" t="s">
        <v>143</v>
      </c>
      <c r="C33" s="709"/>
      <c r="D33" s="923">
        <f>'[2]总投资-发采购-0411-GLP拆分场外费用(司调)'!G84</f>
        <v>32.506880000000002</v>
      </c>
      <c r="E33" s="928">
        <f t="shared" si="0"/>
        <v>4.5719943741209566</v>
      </c>
      <c r="F33" s="920">
        <v>1</v>
      </c>
      <c r="G33" s="606"/>
      <c r="H33" s="606"/>
      <c r="I33" s="606"/>
      <c r="J33" s="781" t="s">
        <v>180</v>
      </c>
      <c r="K33" s="606"/>
      <c r="L33" s="780"/>
      <c r="M33" s="606"/>
      <c r="N33" s="606"/>
      <c r="O33" s="738"/>
      <c r="P33" s="738"/>
      <c r="Q33" s="738"/>
      <c r="R33" s="738"/>
      <c r="S33" s="697"/>
    </row>
    <row r="34" spans="1:19" hidden="1">
      <c r="A34" s="957" t="s">
        <v>185</v>
      </c>
      <c r="B34" s="925" t="s">
        <v>145</v>
      </c>
      <c r="C34" s="709"/>
      <c r="D34" s="923">
        <f>'[2]总投资-发采购-0411-GLP拆分场外费用(司调)'!G85</f>
        <v>292.56191999999999</v>
      </c>
      <c r="E34" s="928">
        <f t="shared" si="0"/>
        <v>41.147949367088607</v>
      </c>
      <c r="F34" s="920">
        <v>1</v>
      </c>
      <c r="G34" s="606"/>
      <c r="H34" s="606"/>
      <c r="I34" s="606"/>
      <c r="J34" s="781" t="s">
        <v>180</v>
      </c>
      <c r="K34" s="606"/>
      <c r="L34" s="780"/>
      <c r="M34" s="606"/>
      <c r="N34" s="606"/>
      <c r="O34" s="738"/>
      <c r="P34" s="738"/>
      <c r="Q34" s="738"/>
      <c r="R34" s="738"/>
      <c r="S34" s="697"/>
    </row>
    <row r="35" spans="1:19" hidden="1">
      <c r="A35" s="957" t="s">
        <v>186</v>
      </c>
      <c r="B35" s="925" t="s">
        <v>147</v>
      </c>
      <c r="C35" s="709"/>
      <c r="D35" s="923">
        <f>'[2]总投资-发采购-0411-GLP拆分场外费用(司调)'!G86</f>
        <v>227.54816</v>
      </c>
      <c r="E35" s="928">
        <f t="shared" si="0"/>
        <v>32.003960618846691</v>
      </c>
      <c r="F35" s="920">
        <v>1</v>
      </c>
      <c r="G35" s="606"/>
      <c r="H35" s="606"/>
      <c r="I35" s="606"/>
      <c r="J35" s="781" t="s">
        <v>180</v>
      </c>
      <c r="K35" s="606"/>
      <c r="L35" s="780"/>
      <c r="M35" s="606"/>
      <c r="N35" s="606"/>
      <c r="O35" s="738"/>
      <c r="P35" s="738"/>
      <c r="Q35" s="738"/>
      <c r="R35" s="738"/>
      <c r="S35" s="697"/>
    </row>
    <row r="36" spans="1:19" hidden="1">
      <c r="A36" s="957" t="s">
        <v>187</v>
      </c>
      <c r="B36" s="925" t="s">
        <v>149</v>
      </c>
      <c r="C36" s="709"/>
      <c r="D36" s="923">
        <f>'[2]总投资-发采购-0411-GLP拆分场外费用(司调)'!G87</f>
        <v>503.85664000000003</v>
      </c>
      <c r="E36" s="928">
        <f t="shared" si="0"/>
        <v>70.865912798874831</v>
      </c>
      <c r="F36" s="920">
        <v>1</v>
      </c>
      <c r="G36" s="606"/>
      <c r="H36" s="606"/>
      <c r="I36" s="606"/>
      <c r="J36" s="781" t="s">
        <v>180</v>
      </c>
      <c r="K36" s="606"/>
      <c r="L36" s="780"/>
      <c r="M36" s="606"/>
      <c r="N36" s="606"/>
      <c r="O36" s="738"/>
      <c r="P36" s="738"/>
      <c r="Q36" s="738"/>
      <c r="R36" s="738"/>
      <c r="S36" s="697"/>
    </row>
    <row r="37" spans="1:19" hidden="1">
      <c r="A37" s="957" t="s">
        <v>188</v>
      </c>
      <c r="B37" s="925" t="s">
        <v>151</v>
      </c>
      <c r="C37" s="709"/>
      <c r="D37" s="923">
        <f>'[2]总投资-发采购-0411-GLP拆分场外费用(司调)'!G88</f>
        <v>138.84473776528901</v>
      </c>
      <c r="E37" s="928">
        <f t="shared" si="0"/>
        <v>19.528092512698876</v>
      </c>
      <c r="F37" s="920">
        <v>1</v>
      </c>
      <c r="G37" s="606"/>
      <c r="H37" s="606"/>
      <c r="I37" s="606"/>
      <c r="J37" s="781" t="s">
        <v>180</v>
      </c>
      <c r="K37" s="606"/>
      <c r="L37" s="780"/>
      <c r="M37" s="606"/>
      <c r="N37" s="606"/>
      <c r="O37" s="738"/>
      <c r="P37" s="738"/>
      <c r="Q37" s="738"/>
      <c r="R37" s="738"/>
      <c r="S37" s="697"/>
    </row>
    <row r="38" spans="1:19" hidden="1">
      <c r="A38" s="957" t="s">
        <v>189</v>
      </c>
      <c r="B38" s="925" t="s">
        <v>153</v>
      </c>
      <c r="C38" s="709"/>
      <c r="D38" s="923">
        <f>'[2]总投资-发采购-0411-GLP拆分场外费用(司调)'!G89</f>
        <v>507.92</v>
      </c>
      <c r="E38" s="928">
        <f t="shared" si="0"/>
        <v>71.437412095639942</v>
      </c>
      <c r="F38" s="920">
        <v>1</v>
      </c>
      <c r="G38" s="606"/>
      <c r="H38" s="606"/>
      <c r="I38" s="606"/>
      <c r="J38" s="781" t="s">
        <v>180</v>
      </c>
      <c r="K38" s="606"/>
      <c r="L38" s="780"/>
      <c r="M38" s="606"/>
      <c r="N38" s="606"/>
      <c r="O38" s="738"/>
      <c r="P38" s="738"/>
      <c r="Q38" s="738"/>
      <c r="R38" s="738"/>
      <c r="S38" s="697"/>
    </row>
    <row r="39" spans="1:19" hidden="1">
      <c r="A39" s="957"/>
      <c r="B39" s="925" t="s">
        <v>155</v>
      </c>
      <c r="C39" s="709"/>
      <c r="D39" s="923">
        <f>'[2]总投资-发采购-0411-GLP拆分场外费用(司调)'!G90</f>
        <v>1881.04313985413</v>
      </c>
      <c r="E39" s="928">
        <f t="shared" si="0"/>
        <v>264.56302951534877</v>
      </c>
      <c r="F39" s="920">
        <v>1</v>
      </c>
      <c r="G39" s="606"/>
      <c r="H39" s="606"/>
      <c r="I39" s="606"/>
      <c r="J39" s="781" t="s">
        <v>180</v>
      </c>
      <c r="K39" s="606"/>
      <c r="L39" s="780"/>
      <c r="M39" s="606"/>
      <c r="N39" s="606"/>
      <c r="O39" s="738"/>
      <c r="P39" s="738"/>
      <c r="Q39" s="738"/>
      <c r="R39" s="738"/>
      <c r="S39" s="697"/>
    </row>
    <row r="40" spans="1:19" hidden="1">
      <c r="A40" s="957" t="s">
        <v>190</v>
      </c>
      <c r="B40" s="925" t="s">
        <v>156</v>
      </c>
      <c r="C40" s="709"/>
      <c r="D40" s="923">
        <f>'[2]总投资-发采购-0411-GLP拆分场外费用(司调)'!G91</f>
        <v>63</v>
      </c>
      <c r="E40" s="928">
        <f t="shared" si="0"/>
        <v>8.8607594936708853</v>
      </c>
      <c r="F40" s="920">
        <v>1</v>
      </c>
      <c r="G40" s="606"/>
      <c r="H40" s="606"/>
      <c r="I40" s="606"/>
      <c r="J40" s="781" t="s">
        <v>180</v>
      </c>
      <c r="K40" s="606"/>
      <c r="L40" s="780"/>
      <c r="M40" s="606"/>
      <c r="N40" s="606"/>
      <c r="O40" s="738"/>
      <c r="P40" s="738"/>
      <c r="Q40" s="738"/>
      <c r="R40" s="738"/>
      <c r="S40" s="697"/>
    </row>
    <row r="41" spans="1:19" hidden="1">
      <c r="A41" s="957"/>
      <c r="B41" s="925" t="s">
        <v>157</v>
      </c>
      <c r="C41" s="709"/>
      <c r="D41" s="923">
        <f>'[2]总投资-发采购-0411-GLP拆分场外费用(司调)'!G92</f>
        <v>1</v>
      </c>
      <c r="E41" s="928">
        <f t="shared" si="0"/>
        <v>0.14064697609001406</v>
      </c>
      <c r="F41" s="920">
        <v>1</v>
      </c>
      <c r="G41" s="606"/>
      <c r="H41" s="606"/>
      <c r="I41" s="606"/>
      <c r="J41" s="781" t="s">
        <v>180</v>
      </c>
      <c r="K41" s="606"/>
      <c r="L41" s="780"/>
      <c r="M41" s="606"/>
      <c r="N41" s="606"/>
      <c r="O41" s="738"/>
      <c r="P41" s="738"/>
      <c r="Q41" s="738"/>
      <c r="R41" s="738"/>
      <c r="S41" s="697"/>
    </row>
    <row r="42" spans="1:19" hidden="1">
      <c r="A42" s="957"/>
      <c r="B42" s="925" t="s">
        <v>158</v>
      </c>
      <c r="C42" s="709"/>
      <c r="D42" s="923">
        <f>'[2]总投资-发采购-0411-GLP拆分场外费用(司调)'!G93</f>
        <v>11</v>
      </c>
      <c r="E42" s="928">
        <f t="shared" si="0"/>
        <v>1.5471167369901546</v>
      </c>
      <c r="F42" s="920">
        <v>1</v>
      </c>
      <c r="G42" s="606"/>
      <c r="H42" s="606"/>
      <c r="I42" s="606"/>
      <c r="J42" s="781" t="s">
        <v>180</v>
      </c>
      <c r="K42" s="606"/>
      <c r="L42" s="780"/>
      <c r="M42" s="606"/>
      <c r="N42" s="606"/>
      <c r="O42" s="738"/>
      <c r="P42" s="738"/>
      <c r="Q42" s="738"/>
      <c r="R42" s="738"/>
      <c r="S42" s="697"/>
    </row>
    <row r="43" spans="1:19" hidden="1">
      <c r="A43" s="957"/>
      <c r="B43" s="925" t="s">
        <v>159</v>
      </c>
      <c r="C43" s="709"/>
      <c r="D43" s="923">
        <f>'[2]总投资-发采购-0411-GLP拆分场外费用(司调)'!G94</f>
        <v>51</v>
      </c>
      <c r="E43" s="928">
        <f t="shared" si="0"/>
        <v>7.1729957805907167</v>
      </c>
      <c r="F43" s="920">
        <v>1</v>
      </c>
      <c r="G43" s="606"/>
      <c r="H43" s="606"/>
      <c r="I43" s="606"/>
      <c r="J43" s="781" t="s">
        <v>180</v>
      </c>
      <c r="K43" s="606"/>
      <c r="L43" s="780"/>
      <c r="M43" s="606"/>
      <c r="N43" s="606"/>
      <c r="O43" s="738"/>
      <c r="P43" s="738"/>
      <c r="Q43" s="738"/>
      <c r="R43" s="738"/>
      <c r="S43" s="697"/>
    </row>
    <row r="44" spans="1:19" ht="16.5" customHeight="1">
      <c r="A44" s="775" t="s">
        <v>26</v>
      </c>
      <c r="B44" s="709" t="s">
        <v>191</v>
      </c>
      <c r="C44" s="709" t="s">
        <v>192</v>
      </c>
      <c r="D44" s="710">
        <f>SUM('[2]总投资-发采购-0411-GLP拆分场外费用(司调)'!G173,'[2]总投资-发采购-0411-GLP拆分场外费用(司调)'!G186,'[2]总投资-发采购-0411-GLP拆分场外费用(司调)'!G202)</f>
        <v>25772.963395329403</v>
      </c>
      <c r="E44" s="711">
        <f t="shared" si="0"/>
        <v>3624.889366431702</v>
      </c>
      <c r="F44" s="920">
        <v>1</v>
      </c>
      <c r="G44" s="606" t="s">
        <v>133</v>
      </c>
      <c r="H44" s="606" t="s">
        <v>30</v>
      </c>
      <c r="I44" s="606">
        <v>18</v>
      </c>
      <c r="J44" s="781" t="s">
        <v>180</v>
      </c>
      <c r="K44" s="606" t="s">
        <v>135</v>
      </c>
      <c r="L44" s="780"/>
      <c r="M44" s="606"/>
      <c r="N44" s="606"/>
      <c r="O44" s="738">
        <v>2025.3</v>
      </c>
      <c r="P44" s="738">
        <v>2025.4</v>
      </c>
      <c r="Q44" s="738" t="s">
        <v>181</v>
      </c>
      <c r="R44" s="738">
        <v>2026.12</v>
      </c>
      <c r="S44" s="697"/>
    </row>
    <row r="45" spans="1:19" hidden="1">
      <c r="A45" s="958">
        <v>2.15</v>
      </c>
      <c r="B45" s="925" t="s">
        <v>193</v>
      </c>
      <c r="C45" s="922"/>
      <c r="D45" s="923">
        <f>'[2]总投资-发采购-0411-GLP拆分场外费用(司调)'!G173</f>
        <v>11277.360138763701</v>
      </c>
      <c r="E45" s="928">
        <f t="shared" ref="E45:E71" si="1">D45/$A$3</f>
        <v>1586.1266017951759</v>
      </c>
      <c r="F45" s="920">
        <v>1</v>
      </c>
      <c r="G45" s="921" t="s">
        <v>194</v>
      </c>
      <c r="H45" s="921" t="s">
        <v>30</v>
      </c>
      <c r="I45" s="921" t="s">
        <v>195</v>
      </c>
      <c r="J45" s="931" t="s">
        <v>196</v>
      </c>
      <c r="K45" s="921" t="s">
        <v>197</v>
      </c>
      <c r="L45" s="780"/>
      <c r="M45" s="921"/>
      <c r="N45" s="921"/>
      <c r="O45" s="930">
        <v>2025.3</v>
      </c>
      <c r="P45" s="930">
        <v>2025.4</v>
      </c>
      <c r="Q45" s="930" t="s">
        <v>136</v>
      </c>
      <c r="R45" s="930">
        <v>2026.12</v>
      </c>
      <c r="S45" s="931"/>
    </row>
    <row r="46" spans="1:19" hidden="1">
      <c r="A46" s="957" t="s">
        <v>198</v>
      </c>
      <c r="B46" s="925" t="s">
        <v>141</v>
      </c>
      <c r="C46" s="922"/>
      <c r="D46" s="923">
        <f>'[2]总投资-发采购-0411-GLP拆分场外费用(司调)'!G174</f>
        <v>8671.0150149573092</v>
      </c>
      <c r="E46" s="928">
        <f t="shared" si="1"/>
        <v>1219.5520414848536</v>
      </c>
      <c r="F46" s="920">
        <v>1</v>
      </c>
      <c r="G46" s="921" t="s">
        <v>194</v>
      </c>
      <c r="H46" s="921" t="s">
        <v>30</v>
      </c>
      <c r="I46" s="921" t="s">
        <v>195</v>
      </c>
      <c r="J46" s="931" t="s">
        <v>196</v>
      </c>
      <c r="K46" s="921" t="s">
        <v>197</v>
      </c>
      <c r="L46" s="780"/>
      <c r="M46" s="921"/>
      <c r="N46" s="921"/>
      <c r="O46" s="930">
        <v>2025.3</v>
      </c>
      <c r="P46" s="930">
        <v>2025.4</v>
      </c>
      <c r="Q46" s="930" t="s">
        <v>136</v>
      </c>
      <c r="R46" s="930">
        <v>2026.12</v>
      </c>
      <c r="S46" s="931"/>
    </row>
    <row r="47" spans="1:19" hidden="1">
      <c r="A47" s="957" t="s">
        <v>199</v>
      </c>
      <c r="B47" s="925" t="s">
        <v>143</v>
      </c>
      <c r="C47" s="922"/>
      <c r="D47" s="923">
        <f>'[2]总投资-发采购-0411-GLP拆分场外费用(司调)'!G175</f>
        <v>29.26848</v>
      </c>
      <c r="E47" s="928">
        <f t="shared" si="1"/>
        <v>4.1165232067510544</v>
      </c>
      <c r="F47" s="920">
        <v>1</v>
      </c>
      <c r="G47" s="921" t="s">
        <v>194</v>
      </c>
      <c r="H47" s="921" t="s">
        <v>30</v>
      </c>
      <c r="I47" s="921" t="s">
        <v>195</v>
      </c>
      <c r="J47" s="931" t="s">
        <v>196</v>
      </c>
      <c r="K47" s="921" t="s">
        <v>197</v>
      </c>
      <c r="L47" s="780"/>
      <c r="M47" s="921"/>
      <c r="N47" s="921"/>
      <c r="O47" s="930">
        <v>2025.3</v>
      </c>
      <c r="P47" s="930">
        <v>2025.4</v>
      </c>
      <c r="Q47" s="930" t="s">
        <v>136</v>
      </c>
      <c r="R47" s="930">
        <v>2026.12</v>
      </c>
      <c r="S47" s="931"/>
    </row>
    <row r="48" spans="1:19" hidden="1">
      <c r="A48" s="957" t="s">
        <v>200</v>
      </c>
      <c r="B48" s="925" t="s">
        <v>145</v>
      </c>
      <c r="C48" s="922"/>
      <c r="D48" s="923">
        <f>'[2]总投资-发采购-0411-GLP拆分场外费用(司调)'!G176</f>
        <v>263.41631999999998</v>
      </c>
      <c r="E48" s="928">
        <f t="shared" si="1"/>
        <v>37.04870886075949</v>
      </c>
      <c r="F48" s="920">
        <v>1</v>
      </c>
      <c r="G48" s="921" t="s">
        <v>194</v>
      </c>
      <c r="H48" s="921" t="s">
        <v>30</v>
      </c>
      <c r="I48" s="921" t="s">
        <v>195</v>
      </c>
      <c r="J48" s="931" t="s">
        <v>196</v>
      </c>
      <c r="K48" s="921" t="s">
        <v>197</v>
      </c>
      <c r="L48" s="780"/>
      <c r="M48" s="921"/>
      <c r="N48" s="921"/>
      <c r="O48" s="930">
        <v>2025.3</v>
      </c>
      <c r="P48" s="930">
        <v>2025.4</v>
      </c>
      <c r="Q48" s="930" t="s">
        <v>136</v>
      </c>
      <c r="R48" s="930">
        <v>2026.12</v>
      </c>
      <c r="S48" s="931"/>
    </row>
    <row r="49" spans="1:19" hidden="1">
      <c r="A49" s="957" t="s">
        <v>201</v>
      </c>
      <c r="B49" s="925" t="s">
        <v>147</v>
      </c>
      <c r="C49" s="922"/>
      <c r="D49" s="923">
        <f>'[2]总投资-发采购-0411-GLP拆分场外费用(司调)'!G177</f>
        <v>204.87935999999999</v>
      </c>
      <c r="E49" s="928">
        <f t="shared" si="1"/>
        <v>28.815662447257381</v>
      </c>
      <c r="F49" s="920">
        <v>1</v>
      </c>
      <c r="G49" s="921" t="s">
        <v>194</v>
      </c>
      <c r="H49" s="921" t="s">
        <v>30</v>
      </c>
      <c r="I49" s="921" t="s">
        <v>195</v>
      </c>
      <c r="J49" s="931" t="s">
        <v>196</v>
      </c>
      <c r="K49" s="921" t="s">
        <v>197</v>
      </c>
      <c r="L49" s="780"/>
      <c r="M49" s="921"/>
      <c r="N49" s="921"/>
      <c r="O49" s="930">
        <v>2025.3</v>
      </c>
      <c r="P49" s="930">
        <v>2025.4</v>
      </c>
      <c r="Q49" s="930" t="s">
        <v>136</v>
      </c>
      <c r="R49" s="930">
        <v>2026.12</v>
      </c>
      <c r="S49" s="931"/>
    </row>
    <row r="50" spans="1:19" hidden="1">
      <c r="A50" s="957" t="s">
        <v>202</v>
      </c>
      <c r="B50" s="925" t="s">
        <v>149</v>
      </c>
      <c r="C50" s="922"/>
      <c r="D50" s="923">
        <f>'[2]总投资-发采购-0411-GLP拆分场外费用(司调)'!G178</f>
        <v>453.66144000000003</v>
      </c>
      <c r="E50" s="928">
        <f t="shared" si="1"/>
        <v>63.806109704641351</v>
      </c>
      <c r="F50" s="920">
        <v>1</v>
      </c>
      <c r="G50" s="921" t="s">
        <v>194</v>
      </c>
      <c r="H50" s="921" t="s">
        <v>30</v>
      </c>
      <c r="I50" s="921" t="s">
        <v>195</v>
      </c>
      <c r="J50" s="931" t="s">
        <v>196</v>
      </c>
      <c r="K50" s="921" t="s">
        <v>197</v>
      </c>
      <c r="L50" s="780"/>
      <c r="M50" s="921"/>
      <c r="N50" s="921"/>
      <c r="O50" s="930">
        <v>2025.3</v>
      </c>
      <c r="P50" s="930">
        <v>2025.4</v>
      </c>
      <c r="Q50" s="930" t="s">
        <v>136</v>
      </c>
      <c r="R50" s="930">
        <v>2026.12</v>
      </c>
      <c r="S50" s="931"/>
    </row>
    <row r="51" spans="1:19" hidden="1">
      <c r="A51" s="957" t="s">
        <v>203</v>
      </c>
      <c r="B51" s="925" t="s">
        <v>151</v>
      </c>
      <c r="C51" s="922"/>
      <c r="D51" s="923">
        <f>'[2]总投资-发采购-0411-GLP拆分场外费用(司调)'!G179</f>
        <v>125.01274900539801</v>
      </c>
      <c r="E51" s="928">
        <f t="shared" si="1"/>
        <v>17.582665120309141</v>
      </c>
      <c r="F51" s="920">
        <v>1</v>
      </c>
      <c r="G51" s="921" t="s">
        <v>194</v>
      </c>
      <c r="H51" s="921" t="s">
        <v>30</v>
      </c>
      <c r="I51" s="921" t="s">
        <v>195</v>
      </c>
      <c r="J51" s="931" t="s">
        <v>196</v>
      </c>
      <c r="K51" s="921" t="s">
        <v>197</v>
      </c>
      <c r="L51" s="780"/>
      <c r="M51" s="921"/>
      <c r="N51" s="921"/>
      <c r="O51" s="930">
        <v>2025.3</v>
      </c>
      <c r="P51" s="930">
        <v>2025.4</v>
      </c>
      <c r="Q51" s="930" t="s">
        <v>136</v>
      </c>
      <c r="R51" s="930">
        <v>2026.12</v>
      </c>
      <c r="S51" s="931"/>
    </row>
    <row r="52" spans="1:19" hidden="1">
      <c r="A52" s="957" t="s">
        <v>204</v>
      </c>
      <c r="B52" s="925" t="s">
        <v>153</v>
      </c>
      <c r="C52" s="922"/>
      <c r="D52" s="923">
        <f>'[2]总投资-发采购-0411-GLP拆分场外费用(司调)'!G180</f>
        <v>457.32</v>
      </c>
      <c r="E52" s="928">
        <f t="shared" si="1"/>
        <v>64.320675105485222</v>
      </c>
      <c r="F52" s="920">
        <v>1</v>
      </c>
      <c r="G52" s="921" t="s">
        <v>194</v>
      </c>
      <c r="H52" s="921" t="s">
        <v>30</v>
      </c>
      <c r="I52" s="921" t="s">
        <v>195</v>
      </c>
      <c r="J52" s="931" t="s">
        <v>196</v>
      </c>
      <c r="K52" s="921" t="s">
        <v>197</v>
      </c>
      <c r="L52" s="780"/>
      <c r="M52" s="921"/>
      <c r="N52" s="921"/>
      <c r="O52" s="930">
        <v>2025.3</v>
      </c>
      <c r="P52" s="930">
        <v>2025.4</v>
      </c>
      <c r="Q52" s="930" t="s">
        <v>136</v>
      </c>
      <c r="R52" s="930">
        <v>2026.12</v>
      </c>
      <c r="S52" s="931"/>
    </row>
    <row r="53" spans="1:19" hidden="1">
      <c r="A53" s="957"/>
      <c r="B53" s="959" t="s">
        <v>205</v>
      </c>
      <c r="C53" s="922"/>
      <c r="D53" s="923">
        <f>'[2]总投资-发采购-0411-GLP拆分场外费用(司调)'!G181</f>
        <v>1015.78677480099</v>
      </c>
      <c r="E53" s="928">
        <f t="shared" si="1"/>
        <v>142.86733822798732</v>
      </c>
      <c r="F53" s="920">
        <v>1</v>
      </c>
      <c r="G53" s="921"/>
      <c r="H53" s="921"/>
      <c r="I53" s="921"/>
      <c r="J53" s="931"/>
      <c r="K53" s="921"/>
      <c r="L53" s="780"/>
      <c r="M53" s="921"/>
      <c r="N53" s="921"/>
      <c r="O53" s="930"/>
      <c r="P53" s="930"/>
      <c r="Q53" s="930"/>
      <c r="R53" s="930"/>
      <c r="S53" s="931"/>
    </row>
    <row r="54" spans="1:19" hidden="1">
      <c r="A54" s="957" t="s">
        <v>206</v>
      </c>
      <c r="B54" s="925" t="s">
        <v>156</v>
      </c>
      <c r="C54" s="922"/>
      <c r="D54" s="923">
        <f>'[2]总投资-发采购-0411-GLP拆分场外费用(司调)'!G182</f>
        <v>57</v>
      </c>
      <c r="E54" s="928">
        <f t="shared" si="1"/>
        <v>8.0168776371308006</v>
      </c>
      <c r="F54" s="920">
        <v>1</v>
      </c>
      <c r="G54" s="921" t="s">
        <v>194</v>
      </c>
      <c r="H54" s="921" t="s">
        <v>30</v>
      </c>
      <c r="I54" s="921" t="s">
        <v>195</v>
      </c>
      <c r="J54" s="931" t="s">
        <v>196</v>
      </c>
      <c r="K54" s="921" t="s">
        <v>197</v>
      </c>
      <c r="L54" s="780"/>
      <c r="M54" s="921"/>
      <c r="N54" s="921"/>
      <c r="O54" s="930">
        <v>2025.3</v>
      </c>
      <c r="P54" s="930">
        <v>2025.4</v>
      </c>
      <c r="Q54" s="930" t="s">
        <v>136</v>
      </c>
      <c r="R54" s="930">
        <v>2026.12</v>
      </c>
      <c r="S54" s="931"/>
    </row>
    <row r="55" spans="1:19" hidden="1">
      <c r="A55" s="958"/>
      <c r="B55" s="925" t="s">
        <v>157</v>
      </c>
      <c r="C55" s="922"/>
      <c r="D55" s="923">
        <f>'[2]总投资-发采购-0411-GLP拆分场外费用(司调)'!G183</f>
        <v>1</v>
      </c>
      <c r="E55" s="928">
        <f t="shared" si="1"/>
        <v>0.14064697609001406</v>
      </c>
      <c r="F55" s="920">
        <v>1</v>
      </c>
      <c r="G55" s="921" t="s">
        <v>194</v>
      </c>
      <c r="H55" s="921" t="s">
        <v>30</v>
      </c>
      <c r="I55" s="921" t="s">
        <v>195</v>
      </c>
      <c r="J55" s="931" t="s">
        <v>196</v>
      </c>
      <c r="K55" s="921" t="s">
        <v>197</v>
      </c>
      <c r="L55" s="780"/>
      <c r="M55" s="921"/>
      <c r="N55" s="921"/>
      <c r="O55" s="930">
        <v>2025.3</v>
      </c>
      <c r="P55" s="930">
        <v>2025.4</v>
      </c>
      <c r="Q55" s="930" t="s">
        <v>136</v>
      </c>
      <c r="R55" s="930">
        <v>2026.12</v>
      </c>
      <c r="S55" s="931"/>
    </row>
    <row r="56" spans="1:19" hidden="1">
      <c r="A56" s="958"/>
      <c r="B56" s="925" t="s">
        <v>158</v>
      </c>
      <c r="C56" s="922"/>
      <c r="D56" s="923">
        <f>'[2]总投资-发采购-0411-GLP拆分场外费用(司调)'!G184</f>
        <v>9</v>
      </c>
      <c r="E56" s="928">
        <f t="shared" si="1"/>
        <v>1.2658227848101264</v>
      </c>
      <c r="F56" s="920">
        <v>1</v>
      </c>
      <c r="G56" s="921" t="s">
        <v>194</v>
      </c>
      <c r="H56" s="921" t="s">
        <v>30</v>
      </c>
      <c r="I56" s="921" t="s">
        <v>195</v>
      </c>
      <c r="J56" s="931" t="s">
        <v>196</v>
      </c>
      <c r="K56" s="921" t="s">
        <v>197</v>
      </c>
      <c r="L56" s="780"/>
      <c r="M56" s="921"/>
      <c r="N56" s="921"/>
      <c r="O56" s="930">
        <v>2025.3</v>
      </c>
      <c r="P56" s="930">
        <v>2025.4</v>
      </c>
      <c r="Q56" s="930" t="s">
        <v>136</v>
      </c>
      <c r="R56" s="930">
        <v>2026.12</v>
      </c>
      <c r="S56" s="931"/>
    </row>
    <row r="57" spans="1:19" hidden="1">
      <c r="A57" s="958"/>
      <c r="B57" s="925" t="s">
        <v>159</v>
      </c>
      <c r="C57" s="922"/>
      <c r="D57" s="923">
        <f>'[2]总投资-发采购-0411-GLP拆分场外费用(司调)'!G185</f>
        <v>47</v>
      </c>
      <c r="E57" s="928">
        <f t="shared" si="1"/>
        <v>6.6104078762306608</v>
      </c>
      <c r="F57" s="920">
        <v>1</v>
      </c>
      <c r="G57" s="921" t="s">
        <v>194</v>
      </c>
      <c r="H57" s="921" t="s">
        <v>30</v>
      </c>
      <c r="I57" s="921" t="s">
        <v>195</v>
      </c>
      <c r="J57" s="931" t="s">
        <v>196</v>
      </c>
      <c r="K57" s="921" t="s">
        <v>197</v>
      </c>
      <c r="L57" s="780"/>
      <c r="M57" s="921"/>
      <c r="N57" s="921"/>
      <c r="O57" s="930">
        <v>2025.3</v>
      </c>
      <c r="P57" s="930">
        <v>2025.4</v>
      </c>
      <c r="Q57" s="930" t="s">
        <v>136</v>
      </c>
      <c r="R57" s="930">
        <v>2026.12</v>
      </c>
      <c r="S57" s="931"/>
    </row>
    <row r="58" spans="1:19" hidden="1">
      <c r="A58" s="958">
        <v>2.16</v>
      </c>
      <c r="B58" s="925" t="s">
        <v>207</v>
      </c>
      <c r="C58" s="922"/>
      <c r="D58" s="923">
        <f>'[2]总投资-发采购-0411-GLP拆分场外费用(司调)'!G173</f>
        <v>11277.360138763701</v>
      </c>
      <c r="E58" s="928">
        <f t="shared" si="1"/>
        <v>1586.1266017951759</v>
      </c>
      <c r="F58" s="920">
        <v>1</v>
      </c>
      <c r="G58" s="921" t="s">
        <v>194</v>
      </c>
      <c r="H58" s="921" t="s">
        <v>30</v>
      </c>
      <c r="I58" s="921" t="s">
        <v>195</v>
      </c>
      <c r="J58" s="931" t="s">
        <v>196</v>
      </c>
      <c r="K58" s="921" t="s">
        <v>197</v>
      </c>
      <c r="L58" s="780"/>
      <c r="M58" s="921"/>
      <c r="N58" s="921"/>
      <c r="O58" s="930">
        <v>2025.3</v>
      </c>
      <c r="P58" s="930">
        <v>2025.4</v>
      </c>
      <c r="Q58" s="930" t="s">
        <v>136</v>
      </c>
      <c r="R58" s="930">
        <v>2026.12</v>
      </c>
      <c r="S58" s="931"/>
    </row>
    <row r="59" spans="1:19" hidden="1">
      <c r="A59" s="957" t="s">
        <v>208</v>
      </c>
      <c r="B59" s="925" t="s">
        <v>141</v>
      </c>
      <c r="C59" s="922"/>
      <c r="D59" s="923">
        <f>'[2]总投资-发采购-0411-GLP拆分场外费用(司调)'!G174</f>
        <v>8671.0150149573092</v>
      </c>
      <c r="E59" s="928">
        <f t="shared" si="1"/>
        <v>1219.5520414848536</v>
      </c>
      <c r="F59" s="920">
        <v>1</v>
      </c>
      <c r="G59" s="921" t="s">
        <v>194</v>
      </c>
      <c r="H59" s="921" t="s">
        <v>30</v>
      </c>
      <c r="I59" s="921" t="s">
        <v>195</v>
      </c>
      <c r="J59" s="931" t="s">
        <v>196</v>
      </c>
      <c r="K59" s="921" t="s">
        <v>197</v>
      </c>
      <c r="L59" s="780"/>
      <c r="M59" s="921"/>
      <c r="N59" s="921"/>
      <c r="O59" s="930">
        <v>2025.3</v>
      </c>
      <c r="P59" s="930">
        <v>2025.4</v>
      </c>
      <c r="Q59" s="930" t="s">
        <v>136</v>
      </c>
      <c r="R59" s="930">
        <v>2026.12</v>
      </c>
      <c r="S59" s="931"/>
    </row>
    <row r="60" spans="1:19" hidden="1">
      <c r="A60" s="957" t="s">
        <v>209</v>
      </c>
      <c r="B60" s="925" t="s">
        <v>143</v>
      </c>
      <c r="C60" s="922"/>
      <c r="D60" s="923">
        <f>'[2]总投资-发采购-0411-GLP拆分场外费用(司调)'!G175</f>
        <v>29.26848</v>
      </c>
      <c r="E60" s="928">
        <f t="shared" si="1"/>
        <v>4.1165232067510544</v>
      </c>
      <c r="F60" s="920">
        <v>1</v>
      </c>
      <c r="G60" s="921" t="s">
        <v>194</v>
      </c>
      <c r="H60" s="921" t="s">
        <v>30</v>
      </c>
      <c r="I60" s="921" t="s">
        <v>195</v>
      </c>
      <c r="J60" s="931" t="s">
        <v>196</v>
      </c>
      <c r="K60" s="921" t="s">
        <v>197</v>
      </c>
      <c r="L60" s="780"/>
      <c r="M60" s="921"/>
      <c r="N60" s="921"/>
      <c r="O60" s="930">
        <v>2025.3</v>
      </c>
      <c r="P60" s="930">
        <v>2025.4</v>
      </c>
      <c r="Q60" s="930" t="s">
        <v>136</v>
      </c>
      <c r="R60" s="930">
        <v>2026.12</v>
      </c>
      <c r="S60" s="931"/>
    </row>
    <row r="61" spans="1:19" hidden="1">
      <c r="A61" s="957" t="s">
        <v>210</v>
      </c>
      <c r="B61" s="925" t="s">
        <v>145</v>
      </c>
      <c r="C61" s="922"/>
      <c r="D61" s="923">
        <f>'[2]总投资-发采购-0411-GLP拆分场外费用(司调)'!G176</f>
        <v>263.41631999999998</v>
      </c>
      <c r="E61" s="928">
        <f t="shared" si="1"/>
        <v>37.04870886075949</v>
      </c>
      <c r="F61" s="920">
        <v>1</v>
      </c>
      <c r="G61" s="921" t="s">
        <v>194</v>
      </c>
      <c r="H61" s="921" t="s">
        <v>30</v>
      </c>
      <c r="I61" s="921" t="s">
        <v>195</v>
      </c>
      <c r="J61" s="931" t="s">
        <v>196</v>
      </c>
      <c r="K61" s="921" t="s">
        <v>197</v>
      </c>
      <c r="L61" s="780"/>
      <c r="M61" s="921"/>
      <c r="N61" s="921"/>
      <c r="O61" s="930">
        <v>2025.3</v>
      </c>
      <c r="P61" s="930">
        <v>2025.4</v>
      </c>
      <c r="Q61" s="930" t="s">
        <v>136</v>
      </c>
      <c r="R61" s="930">
        <v>2026.12</v>
      </c>
      <c r="S61" s="931"/>
    </row>
    <row r="62" spans="1:19" hidden="1">
      <c r="A62" s="957" t="s">
        <v>211</v>
      </c>
      <c r="B62" s="925" t="s">
        <v>147</v>
      </c>
      <c r="C62" s="922"/>
      <c r="D62" s="923">
        <f>'[2]总投资-发采购-0411-GLP拆分场外费用(司调)'!G177</f>
        <v>204.87935999999999</v>
      </c>
      <c r="E62" s="928">
        <f t="shared" si="1"/>
        <v>28.815662447257381</v>
      </c>
      <c r="F62" s="920">
        <v>1</v>
      </c>
      <c r="G62" s="921" t="s">
        <v>194</v>
      </c>
      <c r="H62" s="921" t="s">
        <v>30</v>
      </c>
      <c r="I62" s="921" t="s">
        <v>195</v>
      </c>
      <c r="J62" s="931" t="s">
        <v>196</v>
      </c>
      <c r="K62" s="921" t="s">
        <v>197</v>
      </c>
      <c r="L62" s="780"/>
      <c r="M62" s="921"/>
      <c r="N62" s="921"/>
      <c r="O62" s="930">
        <v>2025.3</v>
      </c>
      <c r="P62" s="930">
        <v>2025.4</v>
      </c>
      <c r="Q62" s="930" t="s">
        <v>136</v>
      </c>
      <c r="R62" s="930">
        <v>2026.12</v>
      </c>
      <c r="S62" s="931"/>
    </row>
    <row r="63" spans="1:19" hidden="1">
      <c r="A63" s="957" t="s">
        <v>212</v>
      </c>
      <c r="B63" s="925" t="s">
        <v>149</v>
      </c>
      <c r="C63" s="922"/>
      <c r="D63" s="923">
        <f>'[2]总投资-发采购-0411-GLP拆分场外费用(司调)'!G178</f>
        <v>453.66144000000003</v>
      </c>
      <c r="E63" s="928">
        <f t="shared" si="1"/>
        <v>63.806109704641351</v>
      </c>
      <c r="F63" s="920">
        <v>1</v>
      </c>
      <c r="G63" s="921" t="s">
        <v>194</v>
      </c>
      <c r="H63" s="921" t="s">
        <v>30</v>
      </c>
      <c r="I63" s="921" t="s">
        <v>195</v>
      </c>
      <c r="J63" s="931" t="s">
        <v>196</v>
      </c>
      <c r="K63" s="921" t="s">
        <v>197</v>
      </c>
      <c r="L63" s="780"/>
      <c r="M63" s="921"/>
      <c r="N63" s="921"/>
      <c r="O63" s="930">
        <v>2025.3</v>
      </c>
      <c r="P63" s="930">
        <v>2025.4</v>
      </c>
      <c r="Q63" s="930" t="s">
        <v>136</v>
      </c>
      <c r="R63" s="930">
        <v>2026.12</v>
      </c>
      <c r="S63" s="931"/>
    </row>
    <row r="64" spans="1:19" hidden="1">
      <c r="A64" s="957" t="s">
        <v>213</v>
      </c>
      <c r="B64" s="925" t="s">
        <v>151</v>
      </c>
      <c r="C64" s="922"/>
      <c r="D64" s="923">
        <f>'[2]总投资-发采购-0411-GLP拆分场外费用(司调)'!G179</f>
        <v>125.01274900539801</v>
      </c>
      <c r="E64" s="928">
        <f t="shared" si="1"/>
        <v>17.582665120309141</v>
      </c>
      <c r="F64" s="920">
        <v>1</v>
      </c>
      <c r="G64" s="921" t="s">
        <v>194</v>
      </c>
      <c r="H64" s="921" t="s">
        <v>30</v>
      </c>
      <c r="I64" s="921" t="s">
        <v>195</v>
      </c>
      <c r="J64" s="931" t="s">
        <v>196</v>
      </c>
      <c r="K64" s="921" t="s">
        <v>197</v>
      </c>
      <c r="L64" s="780"/>
      <c r="M64" s="921"/>
      <c r="N64" s="921"/>
      <c r="O64" s="930">
        <v>2025.3</v>
      </c>
      <c r="P64" s="930">
        <v>2025.4</v>
      </c>
      <c r="Q64" s="930" t="s">
        <v>136</v>
      </c>
      <c r="R64" s="930">
        <v>2026.12</v>
      </c>
      <c r="S64" s="931"/>
    </row>
    <row r="65" spans="1:19" hidden="1">
      <c r="A65" s="957" t="s">
        <v>214</v>
      </c>
      <c r="B65" s="925" t="s">
        <v>153</v>
      </c>
      <c r="C65" s="922"/>
      <c r="D65" s="923">
        <f>'[2]总投资-发采购-0411-GLP拆分场外费用(司调)'!G180</f>
        <v>457.32</v>
      </c>
      <c r="E65" s="928">
        <f t="shared" si="1"/>
        <v>64.320675105485222</v>
      </c>
      <c r="F65" s="920">
        <v>1</v>
      </c>
      <c r="G65" s="921" t="s">
        <v>194</v>
      </c>
      <c r="H65" s="921" t="s">
        <v>30</v>
      </c>
      <c r="I65" s="921" t="s">
        <v>195</v>
      </c>
      <c r="J65" s="931" t="s">
        <v>196</v>
      </c>
      <c r="K65" s="921" t="s">
        <v>197</v>
      </c>
      <c r="L65" s="780"/>
      <c r="M65" s="921"/>
      <c r="N65" s="921"/>
      <c r="O65" s="930">
        <v>2025.3</v>
      </c>
      <c r="P65" s="930">
        <v>2025.4</v>
      </c>
      <c r="Q65" s="930" t="s">
        <v>136</v>
      </c>
      <c r="R65" s="930">
        <v>2026.12</v>
      </c>
      <c r="S65" s="931"/>
    </row>
    <row r="66" spans="1:19" hidden="1">
      <c r="A66" s="957"/>
      <c r="B66" s="959" t="s">
        <v>205</v>
      </c>
      <c r="C66" s="922"/>
      <c r="D66" s="923">
        <f>'[2]总投资-发采购-0411-GLP拆分场外费用(司调)'!G181</f>
        <v>1015.78677480099</v>
      </c>
      <c r="E66" s="928">
        <f t="shared" si="1"/>
        <v>142.86733822798732</v>
      </c>
      <c r="F66" s="920">
        <v>1</v>
      </c>
      <c r="G66" s="921"/>
      <c r="H66" s="921"/>
      <c r="I66" s="921"/>
      <c r="J66" s="931"/>
      <c r="K66" s="921"/>
      <c r="L66" s="780"/>
      <c r="M66" s="921"/>
      <c r="N66" s="921"/>
      <c r="O66" s="930"/>
      <c r="P66" s="930"/>
      <c r="Q66" s="930"/>
      <c r="R66" s="930"/>
      <c r="S66" s="931"/>
    </row>
    <row r="67" spans="1:19" hidden="1">
      <c r="A67" s="957" t="s">
        <v>215</v>
      </c>
      <c r="B67" s="925" t="s">
        <v>156</v>
      </c>
      <c r="C67" s="922"/>
      <c r="D67" s="923">
        <f>'[2]总投资-发采购-0411-GLP拆分场外费用(司调)'!G182</f>
        <v>57</v>
      </c>
      <c r="E67" s="928">
        <f t="shared" si="1"/>
        <v>8.0168776371308006</v>
      </c>
      <c r="F67" s="920">
        <v>1</v>
      </c>
      <c r="G67" s="921" t="s">
        <v>194</v>
      </c>
      <c r="H67" s="921" t="s">
        <v>30</v>
      </c>
      <c r="I67" s="921" t="s">
        <v>195</v>
      </c>
      <c r="J67" s="931" t="s">
        <v>196</v>
      </c>
      <c r="K67" s="921" t="s">
        <v>197</v>
      </c>
      <c r="L67" s="780"/>
      <c r="M67" s="921"/>
      <c r="N67" s="921"/>
      <c r="O67" s="930">
        <v>2025.3</v>
      </c>
      <c r="P67" s="930">
        <v>2025.4</v>
      </c>
      <c r="Q67" s="930" t="s">
        <v>136</v>
      </c>
      <c r="R67" s="930">
        <v>2026.12</v>
      </c>
      <c r="S67" s="931"/>
    </row>
    <row r="68" spans="1:19" hidden="1">
      <c r="A68" s="957"/>
      <c r="B68" s="925" t="s">
        <v>157</v>
      </c>
      <c r="C68" s="922"/>
      <c r="D68" s="923">
        <f>'[2]总投资-发采购-0411-GLP拆分场外费用(司调)'!G183</f>
        <v>1</v>
      </c>
      <c r="E68" s="928">
        <f t="shared" si="1"/>
        <v>0.14064697609001406</v>
      </c>
      <c r="F68" s="920">
        <v>1</v>
      </c>
      <c r="G68" s="921" t="s">
        <v>194</v>
      </c>
      <c r="H68" s="921" t="s">
        <v>30</v>
      </c>
      <c r="I68" s="921" t="s">
        <v>195</v>
      </c>
      <c r="J68" s="931" t="s">
        <v>196</v>
      </c>
      <c r="K68" s="921" t="s">
        <v>197</v>
      </c>
      <c r="L68" s="780"/>
      <c r="M68" s="921"/>
      <c r="N68" s="921"/>
      <c r="O68" s="930">
        <v>2025.3</v>
      </c>
      <c r="P68" s="930">
        <v>2025.4</v>
      </c>
      <c r="Q68" s="930" t="s">
        <v>136</v>
      </c>
      <c r="R68" s="930">
        <v>2026.12</v>
      </c>
      <c r="S68" s="931"/>
    </row>
    <row r="69" spans="1:19" hidden="1">
      <c r="A69" s="957"/>
      <c r="B69" s="925" t="s">
        <v>158</v>
      </c>
      <c r="C69" s="922"/>
      <c r="D69" s="923">
        <f>'[2]总投资-发采购-0411-GLP拆分场外费用(司调)'!G184</f>
        <v>9</v>
      </c>
      <c r="E69" s="928">
        <f t="shared" si="1"/>
        <v>1.2658227848101264</v>
      </c>
      <c r="F69" s="920">
        <v>1</v>
      </c>
      <c r="G69" s="921" t="s">
        <v>194</v>
      </c>
      <c r="H69" s="921" t="s">
        <v>30</v>
      </c>
      <c r="I69" s="921" t="s">
        <v>195</v>
      </c>
      <c r="J69" s="931" t="s">
        <v>196</v>
      </c>
      <c r="K69" s="921" t="s">
        <v>197</v>
      </c>
      <c r="L69" s="780"/>
      <c r="M69" s="921"/>
      <c r="N69" s="921"/>
      <c r="O69" s="930">
        <v>2025.3</v>
      </c>
      <c r="P69" s="930">
        <v>2025.4</v>
      </c>
      <c r="Q69" s="930" t="s">
        <v>136</v>
      </c>
      <c r="R69" s="930">
        <v>2026.12</v>
      </c>
      <c r="S69" s="931"/>
    </row>
    <row r="70" spans="1:19" hidden="1">
      <c r="A70" s="957"/>
      <c r="B70" s="925" t="s">
        <v>159</v>
      </c>
      <c r="C70" s="922"/>
      <c r="D70" s="923">
        <f>'[2]总投资-发采购-0411-GLP拆分场外费用(司调)'!G185</f>
        <v>47</v>
      </c>
      <c r="E70" s="928">
        <f t="shared" si="1"/>
        <v>6.6104078762306608</v>
      </c>
      <c r="F70" s="920">
        <v>1</v>
      </c>
      <c r="G70" s="921" t="s">
        <v>194</v>
      </c>
      <c r="H70" s="921" t="s">
        <v>30</v>
      </c>
      <c r="I70" s="921" t="s">
        <v>195</v>
      </c>
      <c r="J70" s="931" t="s">
        <v>196</v>
      </c>
      <c r="K70" s="921" t="s">
        <v>197</v>
      </c>
      <c r="L70" s="780"/>
      <c r="M70" s="921"/>
      <c r="N70" s="921"/>
      <c r="O70" s="930">
        <v>2025.3</v>
      </c>
      <c r="P70" s="930">
        <v>2025.4</v>
      </c>
      <c r="Q70" s="930" t="s">
        <v>136</v>
      </c>
      <c r="R70" s="930">
        <v>2026.12</v>
      </c>
      <c r="S70" s="931"/>
    </row>
    <row r="71" spans="1:19" hidden="1">
      <c r="A71" s="957" t="s">
        <v>216</v>
      </c>
      <c r="B71" s="925" t="s">
        <v>217</v>
      </c>
      <c r="C71" s="922"/>
      <c r="D71" s="923">
        <f>'[2]总投资-发采购-0411-GLP拆分场外费用(司调)'!G202</f>
        <v>4178.7488000000003</v>
      </c>
      <c r="E71" s="928">
        <f t="shared" si="1"/>
        <v>587.72838255977501</v>
      </c>
      <c r="F71" s="920">
        <v>1</v>
      </c>
      <c r="G71" s="921"/>
      <c r="H71" s="921"/>
      <c r="I71" s="921"/>
      <c r="J71" s="931"/>
      <c r="K71" s="921"/>
      <c r="L71" s="780"/>
      <c r="M71" s="921"/>
      <c r="N71" s="921"/>
      <c r="O71" s="930"/>
      <c r="P71" s="930"/>
      <c r="Q71" s="930"/>
      <c r="R71" s="930"/>
      <c r="S71" s="931"/>
    </row>
    <row r="72" spans="1:19" hidden="1">
      <c r="A72" s="957" t="s">
        <v>218</v>
      </c>
      <c r="B72" s="925" t="s">
        <v>219</v>
      </c>
      <c r="C72" s="922"/>
      <c r="D72" s="923">
        <f>'[2]总投资-发采购-0411-GLP拆分场外费用(司调)'!G203</f>
        <v>4053.386336</v>
      </c>
      <c r="E72" s="928">
        <f t="shared" ref="E72:E75" si="2">D72/$A$3</f>
        <v>570.09653108298164</v>
      </c>
      <c r="F72" s="920">
        <v>1</v>
      </c>
      <c r="G72" s="921"/>
      <c r="H72" s="921"/>
      <c r="I72" s="921"/>
      <c r="J72" s="931"/>
      <c r="K72" s="921"/>
      <c r="L72" s="780"/>
      <c r="M72" s="921"/>
      <c r="N72" s="921"/>
      <c r="O72" s="930"/>
      <c r="P72" s="930"/>
      <c r="Q72" s="930"/>
      <c r="R72" s="930"/>
      <c r="S72" s="931"/>
    </row>
    <row r="73" spans="1:19" hidden="1">
      <c r="A73" s="957" t="s">
        <v>220</v>
      </c>
      <c r="B73" s="925" t="s">
        <v>221</v>
      </c>
      <c r="C73" s="922"/>
      <c r="D73" s="923">
        <f>'[2]总投资-发采购-0411-GLP拆分场外费用(司调)'!G204</f>
        <v>125.362464</v>
      </c>
      <c r="E73" s="928">
        <f t="shared" si="2"/>
        <v>17.631851476793248</v>
      </c>
      <c r="F73" s="920">
        <v>1</v>
      </c>
      <c r="G73" s="921"/>
      <c r="H73" s="921"/>
      <c r="I73" s="921"/>
      <c r="J73" s="931"/>
      <c r="K73" s="921"/>
      <c r="L73" s="780"/>
      <c r="M73" s="921"/>
      <c r="N73" s="921"/>
      <c r="O73" s="930"/>
      <c r="P73" s="930"/>
      <c r="Q73" s="930"/>
      <c r="R73" s="930"/>
      <c r="S73" s="931"/>
    </row>
    <row r="74" spans="1:19" ht="13.5" customHeight="1">
      <c r="A74" s="775" t="s">
        <v>35</v>
      </c>
      <c r="B74" s="709" t="s">
        <v>222</v>
      </c>
      <c r="C74" s="709" t="s">
        <v>223</v>
      </c>
      <c r="D74" s="710">
        <f>SUM('[2]总投资-发采购-0411-GLP拆分场外费用(司调)'!G108,'[2]总投资-发采购-0411-GLP拆分场外费用(司调)'!G121,'[2]总投资-发采购-0411-GLP拆分场外费用(司调)'!G95,'[2]总投资-发采购-0411-GLP拆分场外费用(司调)'!G199)</f>
        <v>54208.013061394893</v>
      </c>
      <c r="E74" s="711">
        <f t="shared" si="2"/>
        <v>7624.1931169331774</v>
      </c>
      <c r="F74" s="920">
        <v>1</v>
      </c>
      <c r="G74" s="606" t="s">
        <v>133</v>
      </c>
      <c r="H74" s="606" t="s">
        <v>79</v>
      </c>
      <c r="I74" s="606">
        <v>18</v>
      </c>
      <c r="J74" s="697" t="s">
        <v>224</v>
      </c>
      <c r="K74" s="606" t="s">
        <v>135</v>
      </c>
      <c r="L74" s="780"/>
      <c r="M74" s="606"/>
      <c r="N74" s="606"/>
      <c r="O74" s="738" t="s">
        <v>225</v>
      </c>
      <c r="P74" s="738" t="s">
        <v>226</v>
      </c>
      <c r="Q74" s="738" t="s">
        <v>227</v>
      </c>
      <c r="R74" s="738" t="s">
        <v>228</v>
      </c>
      <c r="S74" s="697"/>
    </row>
    <row r="75" spans="1:19" hidden="1">
      <c r="A75" s="957">
        <v>2.1</v>
      </c>
      <c r="B75" s="925" t="s">
        <v>229</v>
      </c>
      <c r="C75" s="922"/>
      <c r="D75" s="923">
        <f>'[2]总投资-发采购-0411-GLP拆分场外费用(司调)'!G108</f>
        <v>15502.4051499249</v>
      </c>
      <c r="E75" s="928">
        <f t="shared" si="2"/>
        <v>2180.3664064591981</v>
      </c>
      <c r="F75" s="920">
        <v>1</v>
      </c>
      <c r="G75" s="921"/>
      <c r="H75" s="921"/>
      <c r="I75" s="921"/>
      <c r="J75" s="931"/>
      <c r="K75" s="921"/>
      <c r="L75" s="780"/>
      <c r="M75" s="921"/>
      <c r="N75" s="921"/>
      <c r="O75" s="930"/>
      <c r="P75" s="930"/>
      <c r="Q75" s="930"/>
      <c r="R75" s="930"/>
      <c r="S75" s="931"/>
    </row>
    <row r="76" spans="1:19" hidden="1">
      <c r="A76" s="957" t="s">
        <v>230</v>
      </c>
      <c r="B76" s="925" t="s">
        <v>141</v>
      </c>
      <c r="C76" s="922"/>
      <c r="D76" s="923">
        <f>'[2]总投资-发采购-0411-GLP拆分场外费用(司调)'!G109</f>
        <v>12124.859358359399</v>
      </c>
      <c r="E76" s="928">
        <f t="shared" ref="E76:E113" si="3">D76/$A$3</f>
        <v>1705.3248042699577</v>
      </c>
      <c r="F76" s="920">
        <v>1</v>
      </c>
      <c r="G76" s="921"/>
      <c r="H76" s="921"/>
      <c r="I76" s="921"/>
      <c r="J76" s="931"/>
      <c r="K76" s="921"/>
      <c r="L76" s="780"/>
      <c r="M76" s="921"/>
      <c r="N76" s="921"/>
      <c r="O76" s="930"/>
      <c r="P76" s="930"/>
      <c r="Q76" s="930"/>
      <c r="R76" s="930"/>
      <c r="S76" s="931"/>
    </row>
    <row r="77" spans="1:19" hidden="1">
      <c r="A77" s="957" t="s">
        <v>231</v>
      </c>
      <c r="B77" s="925" t="s">
        <v>143</v>
      </c>
      <c r="C77" s="922"/>
      <c r="D77" s="923">
        <f>'[2]总投资-发采购-0411-GLP拆分场外费用(司调)'!G110</f>
        <v>40.926720000000003</v>
      </c>
      <c r="E77" s="928">
        <f t="shared" si="3"/>
        <v>5.7562194092827008</v>
      </c>
      <c r="F77" s="920">
        <v>1</v>
      </c>
      <c r="G77" s="921"/>
      <c r="H77" s="921"/>
      <c r="I77" s="921"/>
      <c r="J77" s="931"/>
      <c r="K77" s="921"/>
      <c r="L77" s="780"/>
      <c r="M77" s="921"/>
      <c r="N77" s="921"/>
      <c r="O77" s="930"/>
      <c r="P77" s="930"/>
      <c r="Q77" s="930"/>
      <c r="R77" s="930"/>
      <c r="S77" s="931"/>
    </row>
    <row r="78" spans="1:19" hidden="1">
      <c r="A78" s="957" t="s">
        <v>232</v>
      </c>
      <c r="B78" s="925" t="s">
        <v>145</v>
      </c>
      <c r="C78" s="922"/>
      <c r="D78" s="923">
        <f>'[2]总投资-发采购-0411-GLP拆分场外费用(司调)'!G111</f>
        <v>368.34048000000001</v>
      </c>
      <c r="E78" s="928">
        <f t="shared" si="3"/>
        <v>51.805974683544306</v>
      </c>
      <c r="F78" s="920">
        <v>1</v>
      </c>
      <c r="G78" s="921"/>
      <c r="H78" s="921"/>
      <c r="I78" s="921"/>
      <c r="J78" s="931"/>
      <c r="K78" s="921"/>
      <c r="L78" s="780"/>
      <c r="M78" s="921"/>
      <c r="N78" s="921"/>
      <c r="O78" s="930"/>
      <c r="P78" s="930"/>
      <c r="Q78" s="930"/>
      <c r="R78" s="930"/>
      <c r="S78" s="931"/>
    </row>
    <row r="79" spans="1:19" hidden="1">
      <c r="A79" s="957" t="s">
        <v>233</v>
      </c>
      <c r="B79" s="925" t="s">
        <v>147</v>
      </c>
      <c r="C79" s="922"/>
      <c r="D79" s="923">
        <f>'[2]总投资-发采购-0411-GLP拆分场外费用(司调)'!G112</f>
        <v>286.48703999999998</v>
      </c>
      <c r="E79" s="928">
        <f t="shared" si="3"/>
        <v>40.293535864978899</v>
      </c>
      <c r="F79" s="920">
        <v>1</v>
      </c>
      <c r="G79" s="921"/>
      <c r="H79" s="921"/>
      <c r="I79" s="921"/>
      <c r="J79" s="931"/>
      <c r="K79" s="921"/>
      <c r="L79" s="780"/>
      <c r="M79" s="921"/>
      <c r="N79" s="921"/>
      <c r="O79" s="930"/>
      <c r="P79" s="930"/>
      <c r="Q79" s="930"/>
      <c r="R79" s="930"/>
      <c r="S79" s="931"/>
    </row>
    <row r="80" spans="1:19" hidden="1">
      <c r="A80" s="957" t="s">
        <v>234</v>
      </c>
      <c r="B80" s="925" t="s">
        <v>149</v>
      </c>
      <c r="C80" s="922"/>
      <c r="D80" s="923">
        <f>'[2]总投资-发采购-0411-GLP拆分场外费用(司调)'!G113</f>
        <v>634.36415999999997</v>
      </c>
      <c r="E80" s="928">
        <f t="shared" si="3"/>
        <v>89.221400843881852</v>
      </c>
      <c r="F80" s="920">
        <v>1</v>
      </c>
      <c r="G80" s="921"/>
      <c r="H80" s="921"/>
      <c r="I80" s="921"/>
      <c r="J80" s="931"/>
      <c r="K80" s="921"/>
      <c r="L80" s="780"/>
      <c r="M80" s="921"/>
      <c r="N80" s="921"/>
      <c r="O80" s="930"/>
      <c r="P80" s="930"/>
      <c r="Q80" s="930"/>
      <c r="R80" s="930"/>
      <c r="S80" s="931"/>
    </row>
    <row r="81" spans="1:19" hidden="1">
      <c r="A81" s="957" t="s">
        <v>235</v>
      </c>
      <c r="B81" s="925" t="s">
        <v>151</v>
      </c>
      <c r="C81" s="922"/>
      <c r="D81" s="923">
        <f>'[2]总投资-发采购-0411-GLP拆分场外费用(司调)'!G114</f>
        <v>174.807908541004</v>
      </c>
      <c r="E81" s="928">
        <f t="shared" si="3"/>
        <v>24.586203732911954</v>
      </c>
      <c r="F81" s="920">
        <v>1</v>
      </c>
      <c r="G81" s="921"/>
      <c r="H81" s="921"/>
      <c r="I81" s="921"/>
      <c r="J81" s="931"/>
      <c r="K81" s="921"/>
      <c r="L81" s="780"/>
      <c r="M81" s="921"/>
      <c r="N81" s="921"/>
      <c r="O81" s="930"/>
      <c r="P81" s="930"/>
      <c r="Q81" s="930"/>
      <c r="R81" s="930"/>
      <c r="S81" s="931"/>
    </row>
    <row r="82" spans="1:19" hidden="1">
      <c r="A82" s="957" t="s">
        <v>236</v>
      </c>
      <c r="B82" s="925" t="s">
        <v>153</v>
      </c>
      <c r="C82" s="922"/>
      <c r="D82" s="923">
        <f>'[2]总投资-发采购-0411-GLP拆分场外费用(司调)'!G115</f>
        <v>639.48</v>
      </c>
      <c r="E82" s="928">
        <f t="shared" si="3"/>
        <v>89.940928270042193</v>
      </c>
      <c r="F82" s="920">
        <v>1</v>
      </c>
      <c r="G82" s="921"/>
      <c r="H82" s="921"/>
      <c r="I82" s="921"/>
      <c r="J82" s="931"/>
      <c r="K82" s="921"/>
      <c r="L82" s="780"/>
      <c r="M82" s="921"/>
      <c r="N82" s="921"/>
      <c r="O82" s="930"/>
      <c r="P82" s="930"/>
      <c r="Q82" s="930"/>
      <c r="R82" s="930"/>
      <c r="S82" s="931"/>
    </row>
    <row r="83" spans="1:19" hidden="1">
      <c r="A83" s="957"/>
      <c r="B83" s="959" t="s">
        <v>205</v>
      </c>
      <c r="C83" s="922"/>
      <c r="D83" s="923">
        <f>'[2]总投资-发采购-0411-GLP拆分场外费用(司调)'!G116</f>
        <v>1161.1394830245599</v>
      </c>
      <c r="E83" s="928">
        <f t="shared" si="3"/>
        <v>163.31075710612657</v>
      </c>
      <c r="F83" s="920">
        <v>1</v>
      </c>
      <c r="G83" s="921"/>
      <c r="H83" s="921"/>
      <c r="I83" s="921"/>
      <c r="J83" s="931"/>
      <c r="K83" s="921"/>
      <c r="L83" s="780"/>
      <c r="M83" s="921"/>
      <c r="N83" s="921"/>
      <c r="O83" s="930"/>
      <c r="P83" s="930"/>
      <c r="Q83" s="930"/>
      <c r="R83" s="930"/>
      <c r="S83" s="931"/>
    </row>
    <row r="84" spans="1:19" hidden="1">
      <c r="A84" s="957" t="s">
        <v>237</v>
      </c>
      <c r="B84" s="925" t="s">
        <v>156</v>
      </c>
      <c r="C84" s="922"/>
      <c r="D84" s="923">
        <f>'[2]总投资-发采购-0411-GLP拆分场外费用(司调)'!G117</f>
        <v>72</v>
      </c>
      <c r="E84" s="928">
        <f t="shared" si="3"/>
        <v>10.126582278481012</v>
      </c>
      <c r="F84" s="920">
        <v>1</v>
      </c>
      <c r="G84" s="921"/>
      <c r="H84" s="921"/>
      <c r="I84" s="921"/>
      <c r="J84" s="931"/>
      <c r="K84" s="921"/>
      <c r="L84" s="780"/>
      <c r="M84" s="921"/>
      <c r="N84" s="921"/>
      <c r="O84" s="930"/>
      <c r="P84" s="930"/>
      <c r="Q84" s="930"/>
      <c r="R84" s="930"/>
      <c r="S84" s="931"/>
    </row>
    <row r="85" spans="1:19" hidden="1">
      <c r="A85" s="957"/>
      <c r="B85" s="925" t="s">
        <v>157</v>
      </c>
      <c r="C85" s="922"/>
      <c r="D85" s="923">
        <f>'[2]总投资-发采购-0411-GLP拆分场外费用(司调)'!G118</f>
        <v>1</v>
      </c>
      <c r="E85" s="928">
        <f t="shared" si="3"/>
        <v>0.14064697609001406</v>
      </c>
      <c r="F85" s="920">
        <v>1</v>
      </c>
      <c r="G85" s="921"/>
      <c r="H85" s="921"/>
      <c r="I85" s="921"/>
      <c r="J85" s="931"/>
      <c r="K85" s="921"/>
      <c r="L85" s="780"/>
      <c r="M85" s="921"/>
      <c r="N85" s="921"/>
      <c r="O85" s="930"/>
      <c r="P85" s="930"/>
      <c r="Q85" s="930"/>
      <c r="R85" s="930"/>
      <c r="S85" s="931"/>
    </row>
    <row r="86" spans="1:19" hidden="1">
      <c r="A86" s="957"/>
      <c r="B86" s="925" t="s">
        <v>158</v>
      </c>
      <c r="C86" s="922"/>
      <c r="D86" s="923">
        <f>'[2]总投资-发采购-0411-GLP拆分场外费用(司调)'!G119</f>
        <v>13</v>
      </c>
      <c r="E86" s="928">
        <f t="shared" si="3"/>
        <v>1.8284106891701828</v>
      </c>
      <c r="F86" s="920">
        <v>1</v>
      </c>
      <c r="G86" s="921"/>
      <c r="H86" s="921"/>
      <c r="I86" s="921"/>
      <c r="J86" s="931"/>
      <c r="K86" s="921"/>
      <c r="L86" s="780"/>
      <c r="M86" s="921"/>
      <c r="N86" s="921"/>
      <c r="O86" s="930"/>
      <c r="P86" s="930"/>
      <c r="Q86" s="930"/>
      <c r="R86" s="930"/>
      <c r="S86" s="931"/>
    </row>
    <row r="87" spans="1:19" hidden="1">
      <c r="A87" s="957"/>
      <c r="B87" s="925" t="s">
        <v>159</v>
      </c>
      <c r="C87" s="922"/>
      <c r="D87" s="923">
        <f>'[2]总投资-发采购-0411-GLP拆分场外费用(司调)'!G120</f>
        <v>58</v>
      </c>
      <c r="E87" s="928">
        <f t="shared" si="3"/>
        <v>8.157524613220815</v>
      </c>
      <c r="F87" s="920">
        <v>1</v>
      </c>
      <c r="G87" s="921"/>
      <c r="H87" s="921"/>
      <c r="I87" s="921"/>
      <c r="J87" s="931"/>
      <c r="K87" s="921"/>
      <c r="L87" s="780"/>
      <c r="M87" s="921"/>
      <c r="N87" s="921"/>
      <c r="O87" s="930"/>
      <c r="P87" s="930"/>
      <c r="Q87" s="930"/>
      <c r="R87" s="930"/>
      <c r="S87" s="931"/>
    </row>
    <row r="88" spans="1:19" hidden="1">
      <c r="A88" s="957">
        <v>2.11</v>
      </c>
      <c r="B88" s="925" t="s">
        <v>238</v>
      </c>
      <c r="C88" s="922"/>
      <c r="D88" s="923">
        <f>'[2]总投资-发采购-0411-GLP拆分场外费用(司调)'!G121</f>
        <v>15296.8552463777</v>
      </c>
      <c r="E88" s="928">
        <f t="shared" si="3"/>
        <v>2151.4564340896904</v>
      </c>
      <c r="F88" s="920">
        <v>1</v>
      </c>
      <c r="G88" s="921"/>
      <c r="H88" s="921"/>
      <c r="I88" s="921"/>
      <c r="J88" s="931"/>
      <c r="K88" s="921"/>
      <c r="L88" s="780"/>
      <c r="M88" s="921"/>
      <c r="N88" s="921"/>
      <c r="O88" s="930"/>
      <c r="P88" s="930"/>
      <c r="Q88" s="930"/>
      <c r="R88" s="930"/>
      <c r="S88" s="931"/>
    </row>
    <row r="89" spans="1:19" hidden="1">
      <c r="A89" s="957" t="s">
        <v>239</v>
      </c>
      <c r="B89" s="925" t="s">
        <v>141</v>
      </c>
      <c r="C89" s="922"/>
      <c r="D89" s="923">
        <f>'[2]总投资-发采购-0411-GLP拆分场外费用(司调)'!G122</f>
        <v>12124.859358359399</v>
      </c>
      <c r="E89" s="928">
        <f t="shared" si="3"/>
        <v>1705.3248042699577</v>
      </c>
      <c r="F89" s="920">
        <v>1</v>
      </c>
      <c r="G89" s="921"/>
      <c r="H89" s="921"/>
      <c r="I89" s="921"/>
      <c r="J89" s="931"/>
      <c r="K89" s="921"/>
      <c r="L89" s="780"/>
      <c r="M89" s="921"/>
      <c r="N89" s="921"/>
      <c r="O89" s="930"/>
      <c r="P89" s="930"/>
      <c r="Q89" s="930"/>
      <c r="R89" s="930"/>
      <c r="S89" s="931"/>
    </row>
    <row r="90" spans="1:19" hidden="1">
      <c r="A90" s="957" t="s">
        <v>240</v>
      </c>
      <c r="B90" s="925" t="s">
        <v>143</v>
      </c>
      <c r="C90" s="922"/>
      <c r="D90" s="923">
        <f>'[2]总投资-发采购-0411-GLP拆分场外费用(司调)'!G123</f>
        <v>40.926720000000003</v>
      </c>
      <c r="E90" s="928">
        <f t="shared" si="3"/>
        <v>5.7562194092827008</v>
      </c>
      <c r="F90" s="920">
        <v>1</v>
      </c>
      <c r="G90" s="921"/>
      <c r="H90" s="921"/>
      <c r="I90" s="921"/>
      <c r="J90" s="931"/>
      <c r="K90" s="921"/>
      <c r="L90" s="780"/>
      <c r="M90" s="921"/>
      <c r="N90" s="921"/>
      <c r="O90" s="930"/>
      <c r="P90" s="930"/>
      <c r="Q90" s="930"/>
      <c r="R90" s="930"/>
      <c r="S90" s="931"/>
    </row>
    <row r="91" spans="1:19" hidden="1">
      <c r="A91" s="957" t="s">
        <v>241</v>
      </c>
      <c r="B91" s="925" t="s">
        <v>145</v>
      </c>
      <c r="C91" s="922"/>
      <c r="D91" s="923">
        <f>'[2]总投资-发采购-0411-GLP拆分场外费用(司调)'!G124</f>
        <v>368.34048000000001</v>
      </c>
      <c r="E91" s="928">
        <f t="shared" si="3"/>
        <v>51.805974683544306</v>
      </c>
      <c r="F91" s="920">
        <v>1</v>
      </c>
      <c r="G91" s="921"/>
      <c r="H91" s="921"/>
      <c r="I91" s="921"/>
      <c r="J91" s="931"/>
      <c r="K91" s="921"/>
      <c r="L91" s="780"/>
      <c r="M91" s="921"/>
      <c r="N91" s="921"/>
      <c r="O91" s="930"/>
      <c r="P91" s="930"/>
      <c r="Q91" s="930"/>
      <c r="R91" s="930"/>
      <c r="S91" s="931"/>
    </row>
    <row r="92" spans="1:19" hidden="1">
      <c r="A92" s="957" t="s">
        <v>242</v>
      </c>
      <c r="B92" s="925" t="s">
        <v>147</v>
      </c>
      <c r="C92" s="922"/>
      <c r="D92" s="923">
        <f>'[2]总投资-发采购-0411-GLP拆分场外费用(司调)'!G125</f>
        <v>286.48703999999998</v>
      </c>
      <c r="E92" s="928">
        <f t="shared" si="3"/>
        <v>40.293535864978899</v>
      </c>
      <c r="F92" s="920">
        <v>1</v>
      </c>
      <c r="G92" s="921"/>
      <c r="H92" s="921"/>
      <c r="I92" s="921"/>
      <c r="J92" s="931"/>
      <c r="K92" s="921"/>
      <c r="L92" s="780"/>
      <c r="M92" s="921"/>
      <c r="N92" s="921"/>
      <c r="O92" s="930"/>
      <c r="P92" s="930"/>
      <c r="Q92" s="930"/>
      <c r="R92" s="930"/>
      <c r="S92" s="931"/>
    </row>
    <row r="93" spans="1:19" hidden="1">
      <c r="A93" s="957" t="s">
        <v>243</v>
      </c>
      <c r="B93" s="925" t="s">
        <v>149</v>
      </c>
      <c r="C93" s="922"/>
      <c r="D93" s="923">
        <f>'[2]总投资-发采购-0411-GLP拆分场外费用(司调)'!G126</f>
        <v>634.36415999999997</v>
      </c>
      <c r="E93" s="928">
        <f t="shared" si="3"/>
        <v>89.221400843881852</v>
      </c>
      <c r="F93" s="920">
        <v>1</v>
      </c>
      <c r="G93" s="921"/>
      <c r="H93" s="921"/>
      <c r="I93" s="921"/>
      <c r="J93" s="931"/>
      <c r="K93" s="921"/>
      <c r="L93" s="780"/>
      <c r="M93" s="921"/>
      <c r="N93" s="921"/>
      <c r="O93" s="930"/>
      <c r="P93" s="930"/>
      <c r="Q93" s="930"/>
      <c r="R93" s="930"/>
      <c r="S93" s="931"/>
    </row>
    <row r="94" spans="1:19" hidden="1">
      <c r="A94" s="957" t="s">
        <v>244</v>
      </c>
      <c r="B94" s="925" t="s">
        <v>151</v>
      </c>
      <c r="C94" s="922"/>
      <c r="D94" s="923">
        <f>'[2]总投资-发采购-0411-GLP拆分场外费用(司调)'!G127</f>
        <v>174.807908541004</v>
      </c>
      <c r="E94" s="928">
        <f t="shared" si="3"/>
        <v>24.586203732911954</v>
      </c>
      <c r="F94" s="920">
        <v>1</v>
      </c>
      <c r="G94" s="921"/>
      <c r="H94" s="921"/>
      <c r="I94" s="921"/>
      <c r="J94" s="931"/>
      <c r="K94" s="921"/>
      <c r="L94" s="780"/>
      <c r="M94" s="921"/>
      <c r="N94" s="921"/>
      <c r="O94" s="930"/>
      <c r="P94" s="930"/>
      <c r="Q94" s="930"/>
      <c r="R94" s="930"/>
      <c r="S94" s="931"/>
    </row>
    <row r="95" spans="1:19" hidden="1">
      <c r="A95" s="957" t="s">
        <v>245</v>
      </c>
      <c r="B95" s="925" t="s">
        <v>153</v>
      </c>
      <c r="C95" s="922"/>
      <c r="D95" s="923">
        <f>'[2]总投资-发采购-0411-GLP拆分场外费用(司调)'!G128</f>
        <v>639.48</v>
      </c>
      <c r="E95" s="928">
        <f t="shared" si="3"/>
        <v>89.940928270042193</v>
      </c>
      <c r="F95" s="920">
        <v>1</v>
      </c>
      <c r="G95" s="921"/>
      <c r="H95" s="921"/>
      <c r="I95" s="921"/>
      <c r="J95" s="931"/>
      <c r="K95" s="921"/>
      <c r="L95" s="780"/>
      <c r="M95" s="921"/>
      <c r="N95" s="921"/>
      <c r="O95" s="930"/>
      <c r="P95" s="930"/>
      <c r="Q95" s="930"/>
      <c r="R95" s="930"/>
      <c r="S95" s="931"/>
    </row>
    <row r="96" spans="1:19" hidden="1">
      <c r="A96" s="957"/>
      <c r="B96" s="959" t="s">
        <v>205</v>
      </c>
      <c r="C96" s="922"/>
      <c r="D96" s="923">
        <f>'[2]总投资-发采购-0411-GLP拆分场外费用(司调)'!G129</f>
        <v>955.589579477293</v>
      </c>
      <c r="E96" s="928">
        <f t="shared" si="3"/>
        <v>134.40078473660941</v>
      </c>
      <c r="F96" s="920">
        <v>1</v>
      </c>
      <c r="G96" s="921"/>
      <c r="H96" s="921"/>
      <c r="I96" s="921"/>
      <c r="J96" s="931"/>
      <c r="K96" s="921"/>
      <c r="L96" s="780"/>
      <c r="M96" s="921"/>
      <c r="N96" s="921"/>
      <c r="O96" s="930"/>
      <c r="P96" s="930"/>
      <c r="Q96" s="930"/>
      <c r="R96" s="930"/>
      <c r="S96" s="931"/>
    </row>
    <row r="97" spans="1:19" hidden="1">
      <c r="A97" s="957" t="s">
        <v>246</v>
      </c>
      <c r="B97" s="925" t="s">
        <v>156</v>
      </c>
      <c r="C97" s="922"/>
      <c r="D97" s="923">
        <f>'[2]总投资-发采购-0411-GLP拆分场外费用(司调)'!G130</f>
        <v>72</v>
      </c>
      <c r="E97" s="928">
        <f t="shared" si="3"/>
        <v>10.126582278481012</v>
      </c>
      <c r="F97" s="920">
        <v>1</v>
      </c>
      <c r="G97" s="921"/>
      <c r="H97" s="921"/>
      <c r="I97" s="921"/>
      <c r="J97" s="931"/>
      <c r="K97" s="921"/>
      <c r="L97" s="780"/>
      <c r="M97" s="921"/>
      <c r="N97" s="921"/>
      <c r="O97" s="930"/>
      <c r="P97" s="930"/>
      <c r="Q97" s="930"/>
      <c r="R97" s="930"/>
      <c r="S97" s="931"/>
    </row>
    <row r="98" spans="1:19" hidden="1">
      <c r="A98" s="957"/>
      <c r="B98" s="925" t="s">
        <v>157</v>
      </c>
      <c r="C98" s="922"/>
      <c r="D98" s="923">
        <f>'[2]总投资-发采购-0411-GLP拆分场外费用(司调)'!G131</f>
        <v>1</v>
      </c>
      <c r="E98" s="928">
        <f t="shared" si="3"/>
        <v>0.14064697609001406</v>
      </c>
      <c r="F98" s="920">
        <v>1</v>
      </c>
      <c r="G98" s="921"/>
      <c r="H98" s="921"/>
      <c r="I98" s="921"/>
      <c r="J98" s="931"/>
      <c r="K98" s="921"/>
      <c r="L98" s="780"/>
      <c r="M98" s="921"/>
      <c r="N98" s="921"/>
      <c r="O98" s="930"/>
      <c r="P98" s="930"/>
      <c r="Q98" s="930"/>
      <c r="R98" s="930"/>
      <c r="S98" s="931"/>
    </row>
    <row r="99" spans="1:19" hidden="1">
      <c r="A99" s="957"/>
      <c r="B99" s="925" t="s">
        <v>158</v>
      </c>
      <c r="C99" s="922"/>
      <c r="D99" s="923">
        <f>'[2]总投资-发采购-0411-GLP拆分场外费用(司调)'!G132</f>
        <v>13</v>
      </c>
      <c r="E99" s="928">
        <f t="shared" si="3"/>
        <v>1.8284106891701828</v>
      </c>
      <c r="F99" s="920">
        <v>1</v>
      </c>
      <c r="G99" s="921"/>
      <c r="H99" s="921"/>
      <c r="I99" s="921"/>
      <c r="J99" s="931"/>
      <c r="K99" s="921"/>
      <c r="L99" s="780"/>
      <c r="M99" s="921"/>
      <c r="N99" s="921"/>
      <c r="O99" s="930"/>
      <c r="P99" s="930"/>
      <c r="Q99" s="930"/>
      <c r="R99" s="930"/>
      <c r="S99" s="931"/>
    </row>
    <row r="100" spans="1:19" hidden="1">
      <c r="A100" s="957"/>
      <c r="B100" s="925" t="s">
        <v>159</v>
      </c>
      <c r="C100" s="922"/>
      <c r="D100" s="923">
        <f>'[2]总投资-发采购-0411-GLP拆分场外费用(司调)'!G133</f>
        <v>58</v>
      </c>
      <c r="E100" s="928">
        <f t="shared" si="3"/>
        <v>8.157524613220815</v>
      </c>
      <c r="F100" s="920">
        <v>1</v>
      </c>
      <c r="G100" s="921"/>
      <c r="H100" s="921"/>
      <c r="I100" s="921"/>
      <c r="J100" s="931"/>
      <c r="K100" s="921"/>
      <c r="L100" s="780"/>
      <c r="M100" s="921"/>
      <c r="N100" s="921"/>
      <c r="O100" s="930"/>
      <c r="P100" s="930"/>
      <c r="Q100" s="930"/>
      <c r="R100" s="930"/>
      <c r="S100" s="931"/>
    </row>
    <row r="101" spans="1:19" hidden="1">
      <c r="A101" s="957">
        <v>2.9</v>
      </c>
      <c r="B101" s="925" t="s">
        <v>247</v>
      </c>
      <c r="C101" s="922"/>
      <c r="D101" s="923">
        <f>'[2]总投资-发采购-0411-GLP拆分场外费用(司调)'!G95</f>
        <v>13789.8726650923</v>
      </c>
      <c r="E101" s="928">
        <f t="shared" si="3"/>
        <v>1939.5038910115752</v>
      </c>
      <c r="F101" s="920">
        <v>1</v>
      </c>
      <c r="G101" s="921"/>
      <c r="H101" s="921"/>
      <c r="I101" s="921"/>
      <c r="J101" s="931"/>
      <c r="K101" s="921"/>
      <c r="L101" s="780"/>
      <c r="M101" s="921"/>
      <c r="N101" s="921"/>
      <c r="O101" s="930"/>
      <c r="P101" s="930"/>
      <c r="Q101" s="930"/>
      <c r="R101" s="930"/>
      <c r="S101" s="931"/>
    </row>
    <row r="102" spans="1:19" hidden="1">
      <c r="A102" s="957" t="s">
        <v>248</v>
      </c>
      <c r="B102" s="925" t="s">
        <v>141</v>
      </c>
      <c r="C102" s="922"/>
      <c r="D102" s="923">
        <f>'[2]总投资-发采购-0411-GLP拆分场外费用(司调)'!G96</f>
        <v>10541.2785526889</v>
      </c>
      <c r="E102" s="928">
        <f t="shared" si="3"/>
        <v>1482.5989525582138</v>
      </c>
      <c r="F102" s="920">
        <v>1</v>
      </c>
      <c r="G102" s="921"/>
      <c r="H102" s="921"/>
      <c r="I102" s="921"/>
      <c r="J102" s="931"/>
      <c r="K102" s="921"/>
      <c r="L102" s="780"/>
      <c r="M102" s="921"/>
      <c r="N102" s="921"/>
      <c r="O102" s="930"/>
      <c r="P102" s="930"/>
      <c r="Q102" s="930"/>
      <c r="R102" s="930"/>
      <c r="S102" s="931"/>
    </row>
    <row r="103" spans="1:19" hidden="1">
      <c r="A103" s="957" t="s">
        <v>249</v>
      </c>
      <c r="B103" s="925" t="s">
        <v>143</v>
      </c>
      <c r="C103" s="922"/>
      <c r="D103" s="923">
        <f>'[2]总投资-发采购-0411-GLP拆分场外费用(司调)'!G97</f>
        <v>35.581440000000001</v>
      </c>
      <c r="E103" s="928">
        <f t="shared" si="3"/>
        <v>5.0044219409282702</v>
      </c>
      <c r="F103" s="920">
        <v>1</v>
      </c>
      <c r="G103" s="921"/>
      <c r="H103" s="921"/>
      <c r="I103" s="921"/>
      <c r="J103" s="931"/>
      <c r="K103" s="921"/>
      <c r="L103" s="780"/>
      <c r="M103" s="921"/>
      <c r="N103" s="921"/>
      <c r="O103" s="930"/>
      <c r="P103" s="930"/>
      <c r="Q103" s="930"/>
      <c r="R103" s="930"/>
      <c r="S103" s="931"/>
    </row>
    <row r="104" spans="1:19" hidden="1">
      <c r="A104" s="957" t="s">
        <v>250</v>
      </c>
      <c r="B104" s="925" t="s">
        <v>145</v>
      </c>
      <c r="C104" s="922"/>
      <c r="D104" s="923">
        <f>'[2]总投资-发采购-0411-GLP拆分场外费用(司调)'!G98</f>
        <v>320.23295999999999</v>
      </c>
      <c r="E104" s="928">
        <f t="shared" si="3"/>
        <v>45.039797468354429</v>
      </c>
      <c r="F104" s="920">
        <v>1</v>
      </c>
      <c r="G104" s="921"/>
      <c r="H104" s="921"/>
      <c r="I104" s="921"/>
      <c r="J104" s="931"/>
      <c r="K104" s="921"/>
      <c r="L104" s="780"/>
      <c r="M104" s="921"/>
      <c r="N104" s="921"/>
      <c r="O104" s="930"/>
      <c r="P104" s="930"/>
      <c r="Q104" s="930"/>
      <c r="R104" s="930"/>
      <c r="S104" s="931"/>
    </row>
    <row r="105" spans="1:19" hidden="1">
      <c r="A105" s="957" t="s">
        <v>251</v>
      </c>
      <c r="B105" s="925" t="s">
        <v>147</v>
      </c>
      <c r="C105" s="922"/>
      <c r="D105" s="923">
        <f>'[2]总投资-发采购-0411-GLP拆分场外费用(司调)'!G99</f>
        <v>249.07007999999999</v>
      </c>
      <c r="E105" s="928">
        <f t="shared" si="3"/>
        <v>35.030953586497887</v>
      </c>
      <c r="F105" s="920">
        <v>1</v>
      </c>
      <c r="G105" s="921"/>
      <c r="H105" s="921"/>
      <c r="I105" s="921"/>
      <c r="J105" s="931"/>
      <c r="K105" s="921"/>
      <c r="L105" s="780"/>
      <c r="M105" s="921"/>
      <c r="N105" s="921"/>
      <c r="O105" s="930"/>
      <c r="P105" s="930"/>
      <c r="Q105" s="930"/>
      <c r="R105" s="930"/>
      <c r="S105" s="931"/>
    </row>
    <row r="106" spans="1:19" hidden="1">
      <c r="A106" s="957" t="s">
        <v>252</v>
      </c>
      <c r="B106" s="925" t="s">
        <v>149</v>
      </c>
      <c r="C106" s="922"/>
      <c r="D106" s="923">
        <f>'[2]总投资-发采购-0411-GLP拆分场外费用(司调)'!G100</f>
        <v>551.51232000000005</v>
      </c>
      <c r="E106" s="928">
        <f t="shared" si="3"/>
        <v>77.568540084388189</v>
      </c>
      <c r="F106" s="920">
        <v>1</v>
      </c>
      <c r="G106" s="921"/>
      <c r="H106" s="921"/>
      <c r="I106" s="921"/>
      <c r="J106" s="931"/>
      <c r="K106" s="921"/>
      <c r="L106" s="780"/>
      <c r="M106" s="921"/>
      <c r="N106" s="921"/>
      <c r="O106" s="930"/>
      <c r="P106" s="930"/>
      <c r="Q106" s="930"/>
      <c r="R106" s="930"/>
      <c r="S106" s="931"/>
    </row>
    <row r="107" spans="1:19" hidden="1">
      <c r="A107" s="957" t="s">
        <v>253</v>
      </c>
      <c r="B107" s="925" t="s">
        <v>151</v>
      </c>
      <c r="C107" s="922"/>
      <c r="D107" s="923">
        <f>'[2]总投资-发采购-0411-GLP拆分场外费用(司调)'!G101</f>
        <v>151.97692630333501</v>
      </c>
      <c r="E107" s="928">
        <f t="shared" si="3"/>
        <v>21.375095120018987</v>
      </c>
      <c r="F107" s="920">
        <v>1</v>
      </c>
      <c r="G107" s="921"/>
      <c r="H107" s="921"/>
      <c r="I107" s="921"/>
      <c r="J107" s="931"/>
      <c r="K107" s="921"/>
      <c r="L107" s="780"/>
      <c r="M107" s="921"/>
      <c r="N107" s="921"/>
      <c r="O107" s="930"/>
      <c r="P107" s="930"/>
      <c r="Q107" s="930"/>
      <c r="R107" s="930"/>
      <c r="S107" s="931"/>
    </row>
    <row r="108" spans="1:19" hidden="1">
      <c r="A108" s="957" t="s">
        <v>254</v>
      </c>
      <c r="B108" s="925" t="s">
        <v>153</v>
      </c>
      <c r="C108" s="922"/>
      <c r="D108" s="923">
        <f>'[2]总投资-发采购-0411-GLP拆分场外费用(司调)'!G102</f>
        <v>555.96</v>
      </c>
      <c r="E108" s="928">
        <f t="shared" si="3"/>
        <v>78.194092827004226</v>
      </c>
      <c r="F108" s="920">
        <v>1</v>
      </c>
      <c r="G108" s="921"/>
      <c r="H108" s="921"/>
      <c r="I108" s="921"/>
      <c r="J108" s="931"/>
      <c r="K108" s="921"/>
      <c r="L108" s="780"/>
      <c r="M108" s="921"/>
      <c r="N108" s="921"/>
      <c r="O108" s="930"/>
      <c r="P108" s="930"/>
      <c r="Q108" s="930"/>
      <c r="R108" s="930"/>
      <c r="S108" s="931"/>
    </row>
    <row r="109" spans="1:19" hidden="1">
      <c r="A109" s="957"/>
      <c r="B109" s="959" t="s">
        <v>205</v>
      </c>
      <c r="C109" s="922"/>
      <c r="D109" s="923">
        <f>'[2]总投资-发采购-0411-GLP拆分场外费用(司调)'!G103</f>
        <v>1319.26038610009</v>
      </c>
      <c r="E109" s="928">
        <f t="shared" si="3"/>
        <v>185.54998398032208</v>
      </c>
      <c r="F109" s="920">
        <v>1</v>
      </c>
      <c r="G109" s="921"/>
      <c r="H109" s="921"/>
      <c r="I109" s="921"/>
      <c r="J109" s="931"/>
      <c r="K109" s="921"/>
      <c r="L109" s="780"/>
      <c r="M109" s="921"/>
      <c r="N109" s="921"/>
      <c r="O109" s="930"/>
      <c r="P109" s="930"/>
      <c r="Q109" s="930"/>
      <c r="R109" s="930"/>
      <c r="S109" s="931"/>
    </row>
    <row r="110" spans="1:19" hidden="1">
      <c r="A110" s="957" t="s">
        <v>255</v>
      </c>
      <c r="B110" s="925" t="s">
        <v>156</v>
      </c>
      <c r="C110" s="922"/>
      <c r="D110" s="923">
        <f>'[2]总投资-发采购-0411-GLP拆分场外费用(司调)'!G104</f>
        <v>65</v>
      </c>
      <c r="E110" s="928">
        <f t="shared" si="3"/>
        <v>9.1420534458509142</v>
      </c>
      <c r="F110" s="920">
        <v>1</v>
      </c>
      <c r="G110" s="921"/>
      <c r="H110" s="921"/>
      <c r="I110" s="921"/>
      <c r="J110" s="931"/>
      <c r="K110" s="921"/>
      <c r="L110" s="780"/>
      <c r="M110" s="921"/>
      <c r="N110" s="921"/>
      <c r="O110" s="930"/>
      <c r="P110" s="930"/>
      <c r="Q110" s="930"/>
      <c r="R110" s="930"/>
      <c r="S110" s="931"/>
    </row>
    <row r="111" spans="1:19" hidden="1">
      <c r="A111" s="957"/>
      <c r="B111" s="925" t="s">
        <v>157</v>
      </c>
      <c r="C111" s="922"/>
      <c r="D111" s="923">
        <f>'[2]总投资-发采购-0411-GLP拆分场外费用(司调)'!G105</f>
        <v>1</v>
      </c>
      <c r="E111" s="928">
        <f t="shared" si="3"/>
        <v>0.14064697609001406</v>
      </c>
      <c r="F111" s="920">
        <v>1</v>
      </c>
      <c r="G111" s="921"/>
      <c r="H111" s="921"/>
      <c r="I111" s="921"/>
      <c r="J111" s="931"/>
      <c r="K111" s="921"/>
      <c r="L111" s="780"/>
      <c r="M111" s="921"/>
      <c r="N111" s="921"/>
      <c r="O111" s="930"/>
      <c r="P111" s="930"/>
      <c r="Q111" s="930"/>
      <c r="R111" s="930"/>
      <c r="S111" s="931"/>
    </row>
    <row r="112" spans="1:19" hidden="1">
      <c r="A112" s="957"/>
      <c r="B112" s="925" t="s">
        <v>158</v>
      </c>
      <c r="C112" s="922"/>
      <c r="D112" s="923">
        <f>'[2]总投资-发采购-0411-GLP拆分场外费用(司调)'!G106</f>
        <v>11</v>
      </c>
      <c r="E112" s="928">
        <f t="shared" si="3"/>
        <v>1.5471167369901546</v>
      </c>
      <c r="F112" s="920">
        <v>1</v>
      </c>
      <c r="G112" s="921"/>
      <c r="H112" s="921"/>
      <c r="I112" s="921"/>
      <c r="J112" s="931"/>
      <c r="K112" s="921"/>
      <c r="L112" s="780"/>
      <c r="M112" s="921"/>
      <c r="N112" s="921"/>
      <c r="O112" s="930"/>
      <c r="P112" s="930"/>
      <c r="Q112" s="930"/>
      <c r="R112" s="930"/>
      <c r="S112" s="931"/>
    </row>
    <row r="113" spans="1:19" hidden="1">
      <c r="A113" s="957"/>
      <c r="B113" s="925" t="s">
        <v>159</v>
      </c>
      <c r="C113" s="922"/>
      <c r="D113" s="923">
        <f>'[2]总投资-发采购-0411-GLP拆分场外费用(司调)'!G107</f>
        <v>53</v>
      </c>
      <c r="E113" s="928">
        <f t="shared" si="3"/>
        <v>7.4542897327707447</v>
      </c>
      <c r="F113" s="920">
        <v>1</v>
      </c>
      <c r="G113" s="921"/>
      <c r="H113" s="921"/>
      <c r="I113" s="921"/>
      <c r="J113" s="931"/>
      <c r="K113" s="921"/>
      <c r="L113" s="780"/>
      <c r="M113" s="921"/>
      <c r="N113" s="921"/>
      <c r="O113" s="930"/>
      <c r="P113" s="930"/>
      <c r="Q113" s="930"/>
      <c r="R113" s="930"/>
      <c r="S113" s="931"/>
    </row>
    <row r="114" spans="1:19" hidden="1">
      <c r="A114" s="957" t="s">
        <v>256</v>
      </c>
      <c r="B114" s="925" t="s">
        <v>257</v>
      </c>
      <c r="C114" s="922"/>
      <c r="D114" s="923">
        <f>'[2]总投资-发采购-0411-GLP拆分场外费用(司调)'!G199</f>
        <v>9618.8799999999992</v>
      </c>
      <c r="E114" s="928">
        <f t="shared" ref="E114:E118" si="4">D114/$A$3</f>
        <v>1352.8663853727144</v>
      </c>
      <c r="F114" s="920">
        <v>1</v>
      </c>
      <c r="G114" s="921"/>
      <c r="H114" s="921"/>
      <c r="I114" s="921"/>
      <c r="J114" s="931"/>
      <c r="K114" s="921"/>
      <c r="L114" s="780"/>
      <c r="M114" s="921"/>
      <c r="N114" s="921"/>
      <c r="O114" s="930"/>
      <c r="P114" s="930"/>
      <c r="Q114" s="930"/>
      <c r="R114" s="930"/>
      <c r="S114" s="931"/>
    </row>
    <row r="115" spans="1:19" hidden="1">
      <c r="A115" s="957" t="s">
        <v>258</v>
      </c>
      <c r="B115" s="925" t="s">
        <v>259</v>
      </c>
      <c r="C115" s="922"/>
      <c r="D115" s="923">
        <f>'[2]总投资-发采购-0411-GLP拆分场外费用(司调)'!G200</f>
        <v>9330.3135999999995</v>
      </c>
      <c r="E115" s="928">
        <f t="shared" si="4"/>
        <v>1312.280393811533</v>
      </c>
      <c r="F115" s="920">
        <v>1</v>
      </c>
      <c r="G115" s="921"/>
      <c r="H115" s="921"/>
      <c r="I115" s="921"/>
      <c r="J115" s="931"/>
      <c r="K115" s="921"/>
      <c r="L115" s="780"/>
      <c r="M115" s="921"/>
      <c r="N115" s="921"/>
      <c r="O115" s="930"/>
      <c r="P115" s="930"/>
      <c r="Q115" s="930"/>
      <c r="R115" s="930"/>
      <c r="S115" s="931"/>
    </row>
    <row r="116" spans="1:19" hidden="1">
      <c r="A116" s="957" t="s">
        <v>260</v>
      </c>
      <c r="B116" s="925" t="s">
        <v>261</v>
      </c>
      <c r="C116" s="922"/>
      <c r="D116" s="923">
        <f>'[2]总投资-发采购-0411-GLP拆分场外费用(司调)'!G201</f>
        <v>288.56639999999999</v>
      </c>
      <c r="E116" s="928">
        <f t="shared" si="4"/>
        <v>40.58599156118143</v>
      </c>
      <c r="F116" s="920">
        <v>1</v>
      </c>
      <c r="G116" s="921"/>
      <c r="H116" s="921"/>
      <c r="I116" s="921"/>
      <c r="J116" s="931"/>
      <c r="K116" s="921"/>
      <c r="L116" s="780"/>
      <c r="M116" s="921"/>
      <c r="N116" s="921"/>
      <c r="O116" s="930"/>
      <c r="P116" s="930"/>
      <c r="Q116" s="930"/>
      <c r="R116" s="930"/>
      <c r="S116" s="931"/>
    </row>
    <row r="117" spans="1:19" ht="18" customHeight="1">
      <c r="A117" s="775" t="s">
        <v>38</v>
      </c>
      <c r="B117" s="709" t="s">
        <v>262</v>
      </c>
      <c r="C117" s="709" t="s">
        <v>263</v>
      </c>
      <c r="D117" s="710">
        <f>SUM('[2]总投资-发采购-0411-GLP拆分场外费用(司调)'!G134,'[2]总投资-发采购-0411-GLP拆分场外费用(司调)'!G147,'[2]总投资-发采购-0411-GLP拆分场外费用(司调)'!G160)</f>
        <v>47558.926001233798</v>
      </c>
      <c r="E117" s="711">
        <f t="shared" si="4"/>
        <v>6689.0191281622783</v>
      </c>
      <c r="F117" s="920">
        <v>1</v>
      </c>
      <c r="G117" s="606" t="s">
        <v>133</v>
      </c>
      <c r="H117" s="606" t="s">
        <v>79</v>
      </c>
      <c r="I117" s="606">
        <v>18</v>
      </c>
      <c r="J117" s="697" t="s">
        <v>224</v>
      </c>
      <c r="K117" s="606" t="s">
        <v>135</v>
      </c>
      <c r="L117" s="780"/>
      <c r="M117" s="606"/>
      <c r="N117" s="606"/>
      <c r="O117" s="738" t="s">
        <v>225</v>
      </c>
      <c r="P117" s="738" t="s">
        <v>226</v>
      </c>
      <c r="Q117" s="738" t="s">
        <v>227</v>
      </c>
      <c r="R117" s="738" t="s">
        <v>228</v>
      </c>
      <c r="S117" s="697"/>
    </row>
    <row r="118" spans="1:19" hidden="1">
      <c r="A118" s="958">
        <v>2.12</v>
      </c>
      <c r="B118" s="925" t="s">
        <v>264</v>
      </c>
      <c r="C118" s="922"/>
      <c r="D118" s="923">
        <f>'[2]总投资-发采购-0411-GLP拆分场外费用(司调)'!G134</f>
        <v>15098.998477818201</v>
      </c>
      <c r="E118" s="928">
        <f t="shared" si="4"/>
        <v>2123.6284778928552</v>
      </c>
      <c r="F118" s="920">
        <v>1</v>
      </c>
      <c r="G118" s="921"/>
      <c r="H118" s="921"/>
      <c r="I118" s="921"/>
      <c r="J118" s="697" t="s">
        <v>224</v>
      </c>
      <c r="K118" s="921"/>
      <c r="L118" s="780"/>
      <c r="M118" s="921"/>
      <c r="N118" s="921"/>
      <c r="O118" s="930"/>
      <c r="P118" s="930"/>
      <c r="Q118" s="930"/>
      <c r="R118" s="930"/>
      <c r="S118" s="931"/>
    </row>
    <row r="119" spans="1:19" hidden="1">
      <c r="A119" s="958" t="s">
        <v>265</v>
      </c>
      <c r="B119" s="925" t="s">
        <v>141</v>
      </c>
      <c r="C119" s="922"/>
      <c r="D119" s="923">
        <f>'[2]总投资-发采购-0411-GLP拆分场外费用(司调)'!G135</f>
        <v>12124.859358359399</v>
      </c>
      <c r="E119" s="928">
        <f t="shared" ref="E119:E182" si="5">D119/$A$3</f>
        <v>1705.3248042699577</v>
      </c>
      <c r="F119" s="920">
        <v>1</v>
      </c>
      <c r="G119" s="921"/>
      <c r="H119" s="921"/>
      <c r="I119" s="921"/>
      <c r="J119" s="697" t="s">
        <v>224</v>
      </c>
      <c r="K119" s="921"/>
      <c r="L119" s="780"/>
      <c r="M119" s="921"/>
      <c r="N119" s="921"/>
      <c r="O119" s="930"/>
      <c r="P119" s="930"/>
      <c r="Q119" s="930"/>
      <c r="R119" s="930"/>
      <c r="S119" s="931"/>
    </row>
    <row r="120" spans="1:19" hidden="1">
      <c r="A120" s="958" t="s">
        <v>266</v>
      </c>
      <c r="B120" s="925" t="s">
        <v>143</v>
      </c>
      <c r="C120" s="922"/>
      <c r="D120" s="923">
        <f>'[2]总投资-发采购-0411-GLP拆分场外费用(司调)'!G136</f>
        <v>40.926720000000003</v>
      </c>
      <c r="E120" s="928">
        <f t="shared" si="5"/>
        <v>5.7562194092827008</v>
      </c>
      <c r="F120" s="920">
        <v>1</v>
      </c>
      <c r="G120" s="921"/>
      <c r="H120" s="921"/>
      <c r="I120" s="921"/>
      <c r="J120" s="697" t="s">
        <v>224</v>
      </c>
      <c r="K120" s="921"/>
      <c r="L120" s="780"/>
      <c r="M120" s="921"/>
      <c r="N120" s="921"/>
      <c r="O120" s="930"/>
      <c r="P120" s="930"/>
      <c r="Q120" s="930"/>
      <c r="R120" s="930"/>
      <c r="S120" s="931"/>
    </row>
    <row r="121" spans="1:19" hidden="1">
      <c r="A121" s="958" t="s">
        <v>267</v>
      </c>
      <c r="B121" s="925" t="s">
        <v>145</v>
      </c>
      <c r="C121" s="922"/>
      <c r="D121" s="923">
        <f>'[2]总投资-发采购-0411-GLP拆分场外费用(司调)'!G137</f>
        <v>368.34048000000001</v>
      </c>
      <c r="E121" s="928">
        <f t="shared" si="5"/>
        <v>51.805974683544306</v>
      </c>
      <c r="F121" s="920">
        <v>1</v>
      </c>
      <c r="G121" s="921"/>
      <c r="H121" s="921"/>
      <c r="I121" s="921"/>
      <c r="J121" s="697" t="s">
        <v>224</v>
      </c>
      <c r="K121" s="921"/>
      <c r="L121" s="780"/>
      <c r="M121" s="921"/>
      <c r="N121" s="921"/>
      <c r="O121" s="930"/>
      <c r="P121" s="930"/>
      <c r="Q121" s="930"/>
      <c r="R121" s="930"/>
      <c r="S121" s="931"/>
    </row>
    <row r="122" spans="1:19" hidden="1">
      <c r="A122" s="958" t="s">
        <v>268</v>
      </c>
      <c r="B122" s="925" t="s">
        <v>147</v>
      </c>
      <c r="C122" s="922"/>
      <c r="D122" s="923">
        <f>'[2]总投资-发采购-0411-GLP拆分场外费用(司调)'!G138</f>
        <v>286.48703999999998</v>
      </c>
      <c r="E122" s="928">
        <f t="shared" si="5"/>
        <v>40.293535864978899</v>
      </c>
      <c r="F122" s="920">
        <v>1</v>
      </c>
      <c r="G122" s="921"/>
      <c r="H122" s="921"/>
      <c r="I122" s="921"/>
      <c r="J122" s="697" t="s">
        <v>224</v>
      </c>
      <c r="K122" s="921"/>
      <c r="L122" s="780"/>
      <c r="M122" s="921"/>
      <c r="N122" s="921"/>
      <c r="O122" s="930"/>
      <c r="P122" s="930"/>
      <c r="Q122" s="930"/>
      <c r="R122" s="930"/>
      <c r="S122" s="931"/>
    </row>
    <row r="123" spans="1:19" hidden="1">
      <c r="A123" s="958" t="s">
        <v>269</v>
      </c>
      <c r="B123" s="925" t="s">
        <v>149</v>
      </c>
      <c r="C123" s="922"/>
      <c r="D123" s="923">
        <f>'[2]总投资-发采购-0411-GLP拆分场外费用(司调)'!G139</f>
        <v>634.36415999999997</v>
      </c>
      <c r="E123" s="928">
        <f t="shared" si="5"/>
        <v>89.221400843881852</v>
      </c>
      <c r="F123" s="920">
        <v>1</v>
      </c>
      <c r="G123" s="921"/>
      <c r="H123" s="921"/>
      <c r="I123" s="921"/>
      <c r="J123" s="697" t="s">
        <v>224</v>
      </c>
      <c r="K123" s="921"/>
      <c r="L123" s="780"/>
      <c r="M123" s="921"/>
      <c r="N123" s="921"/>
      <c r="O123" s="930"/>
      <c r="P123" s="930"/>
      <c r="Q123" s="930"/>
      <c r="R123" s="930"/>
      <c r="S123" s="931"/>
    </row>
    <row r="124" spans="1:19" hidden="1">
      <c r="A124" s="958" t="s">
        <v>270</v>
      </c>
      <c r="B124" s="925" t="s">
        <v>151</v>
      </c>
      <c r="C124" s="922"/>
      <c r="D124" s="923">
        <f>'[2]总投资-发采购-0411-GLP拆分场外费用(司调)'!G140</f>
        <v>174.807908541004</v>
      </c>
      <c r="E124" s="928">
        <f t="shared" si="5"/>
        <v>24.586203732911954</v>
      </c>
      <c r="F124" s="920">
        <v>1</v>
      </c>
      <c r="G124" s="921"/>
      <c r="H124" s="921"/>
      <c r="I124" s="921"/>
      <c r="J124" s="697" t="s">
        <v>224</v>
      </c>
      <c r="K124" s="921"/>
      <c r="L124" s="780"/>
      <c r="M124" s="921"/>
      <c r="N124" s="921"/>
      <c r="O124" s="930"/>
      <c r="P124" s="930"/>
      <c r="Q124" s="930"/>
      <c r="R124" s="930"/>
      <c r="S124" s="931"/>
    </row>
    <row r="125" spans="1:19" hidden="1">
      <c r="A125" s="958" t="s">
        <v>271</v>
      </c>
      <c r="B125" s="925" t="s">
        <v>153</v>
      </c>
      <c r="C125" s="922"/>
      <c r="D125" s="923">
        <f>'[2]总投资-发采购-0411-GLP拆分场外费用(司调)'!G141</f>
        <v>639.48</v>
      </c>
      <c r="E125" s="928">
        <f t="shared" si="5"/>
        <v>89.940928270042193</v>
      </c>
      <c r="F125" s="920">
        <v>1</v>
      </c>
      <c r="G125" s="921"/>
      <c r="H125" s="921"/>
      <c r="I125" s="921"/>
      <c r="J125" s="697" t="s">
        <v>224</v>
      </c>
      <c r="K125" s="921"/>
      <c r="L125" s="780"/>
      <c r="M125" s="921"/>
      <c r="N125" s="921"/>
      <c r="O125" s="930"/>
      <c r="P125" s="930"/>
      <c r="Q125" s="930"/>
      <c r="R125" s="930"/>
      <c r="S125" s="931"/>
    </row>
    <row r="126" spans="1:19" hidden="1">
      <c r="A126" s="958"/>
      <c r="B126" s="959" t="s">
        <v>205</v>
      </c>
      <c r="C126" s="922"/>
      <c r="D126" s="923">
        <f>'[2]总投资-发采购-0411-GLP拆分场外费用(司调)'!G142</f>
        <v>757.73281091787499</v>
      </c>
      <c r="E126" s="928">
        <f t="shared" si="5"/>
        <v>106.5728285397855</v>
      </c>
      <c r="F126" s="920">
        <v>1</v>
      </c>
      <c r="G126" s="921"/>
      <c r="H126" s="921"/>
      <c r="I126" s="921"/>
      <c r="J126" s="697" t="s">
        <v>224</v>
      </c>
      <c r="K126" s="921"/>
      <c r="L126" s="780"/>
      <c r="M126" s="921"/>
      <c r="N126" s="921"/>
      <c r="O126" s="930"/>
      <c r="P126" s="930"/>
      <c r="Q126" s="930"/>
      <c r="R126" s="930"/>
      <c r="S126" s="931"/>
    </row>
    <row r="127" spans="1:19" hidden="1">
      <c r="A127" s="958" t="s">
        <v>272</v>
      </c>
      <c r="B127" s="925" t="s">
        <v>156</v>
      </c>
      <c r="C127" s="922"/>
      <c r="D127" s="923">
        <f>'[2]总投资-发采购-0411-GLP拆分场外费用(司调)'!G143</f>
        <v>72</v>
      </c>
      <c r="E127" s="928">
        <f t="shared" si="5"/>
        <v>10.126582278481012</v>
      </c>
      <c r="F127" s="920">
        <v>1</v>
      </c>
      <c r="G127" s="921"/>
      <c r="H127" s="921"/>
      <c r="I127" s="921"/>
      <c r="J127" s="697" t="s">
        <v>224</v>
      </c>
      <c r="K127" s="921"/>
      <c r="L127" s="780"/>
      <c r="M127" s="921"/>
      <c r="N127" s="921"/>
      <c r="O127" s="930"/>
      <c r="P127" s="930"/>
      <c r="Q127" s="930"/>
      <c r="R127" s="930"/>
      <c r="S127" s="931"/>
    </row>
    <row r="128" spans="1:19" hidden="1">
      <c r="A128" s="958"/>
      <c r="B128" s="925" t="s">
        <v>157</v>
      </c>
      <c r="C128" s="922"/>
      <c r="D128" s="923">
        <f>'[2]总投资-发采购-0411-GLP拆分场外费用(司调)'!G144</f>
        <v>1</v>
      </c>
      <c r="E128" s="928">
        <f t="shared" si="5"/>
        <v>0.14064697609001406</v>
      </c>
      <c r="F128" s="920">
        <v>1</v>
      </c>
      <c r="G128" s="921"/>
      <c r="H128" s="921"/>
      <c r="I128" s="921"/>
      <c r="J128" s="697" t="s">
        <v>224</v>
      </c>
      <c r="K128" s="921"/>
      <c r="L128" s="780"/>
      <c r="M128" s="921"/>
      <c r="N128" s="921"/>
      <c r="O128" s="930"/>
      <c r="P128" s="930"/>
      <c r="Q128" s="930"/>
      <c r="R128" s="930"/>
      <c r="S128" s="931"/>
    </row>
    <row r="129" spans="1:19" hidden="1">
      <c r="A129" s="958"/>
      <c r="B129" s="925" t="s">
        <v>158</v>
      </c>
      <c r="C129" s="922"/>
      <c r="D129" s="923">
        <f>'[2]总投资-发采购-0411-GLP拆分场外费用(司调)'!G145</f>
        <v>13</v>
      </c>
      <c r="E129" s="928">
        <f t="shared" si="5"/>
        <v>1.8284106891701828</v>
      </c>
      <c r="F129" s="920">
        <v>1</v>
      </c>
      <c r="G129" s="921"/>
      <c r="H129" s="921"/>
      <c r="I129" s="921"/>
      <c r="J129" s="697" t="s">
        <v>224</v>
      </c>
      <c r="K129" s="921"/>
      <c r="L129" s="780"/>
      <c r="M129" s="921"/>
      <c r="N129" s="921"/>
      <c r="O129" s="930"/>
      <c r="P129" s="930"/>
      <c r="Q129" s="930"/>
      <c r="R129" s="930"/>
      <c r="S129" s="931"/>
    </row>
    <row r="130" spans="1:19" hidden="1">
      <c r="A130" s="958"/>
      <c r="B130" s="925" t="s">
        <v>159</v>
      </c>
      <c r="C130" s="922"/>
      <c r="D130" s="923">
        <f>'[2]总投资-发采购-0411-GLP拆分场外费用(司调)'!G146</f>
        <v>58</v>
      </c>
      <c r="E130" s="928">
        <f t="shared" si="5"/>
        <v>8.157524613220815</v>
      </c>
      <c r="F130" s="920">
        <v>1</v>
      </c>
      <c r="G130" s="921"/>
      <c r="H130" s="921"/>
      <c r="I130" s="921"/>
      <c r="J130" s="697" t="s">
        <v>224</v>
      </c>
      <c r="K130" s="921"/>
      <c r="L130" s="780"/>
      <c r="M130" s="921"/>
      <c r="N130" s="921"/>
      <c r="O130" s="930"/>
      <c r="P130" s="930"/>
      <c r="Q130" s="930"/>
      <c r="R130" s="930"/>
      <c r="S130" s="931"/>
    </row>
    <row r="131" spans="1:19" hidden="1">
      <c r="A131" s="958">
        <v>2.13</v>
      </c>
      <c r="B131" s="925" t="s">
        <v>273</v>
      </c>
      <c r="C131" s="922"/>
      <c r="D131" s="923">
        <f>'[2]总投资-发采购-0411-GLP拆分场外费用(司调)'!G147</f>
        <v>15276.624860273199</v>
      </c>
      <c r="E131" s="928">
        <f t="shared" si="5"/>
        <v>2148.611091458959</v>
      </c>
      <c r="F131" s="920">
        <v>1</v>
      </c>
      <c r="G131" s="921"/>
      <c r="H131" s="921"/>
      <c r="I131" s="921"/>
      <c r="J131" s="697" t="s">
        <v>224</v>
      </c>
      <c r="K131" s="921"/>
      <c r="L131" s="780"/>
      <c r="M131" s="921"/>
      <c r="N131" s="921"/>
      <c r="O131" s="930"/>
      <c r="P131" s="930"/>
      <c r="Q131" s="930"/>
      <c r="R131" s="930"/>
      <c r="S131" s="931"/>
    </row>
    <row r="132" spans="1:19" hidden="1">
      <c r="A132" s="958" t="s">
        <v>274</v>
      </c>
      <c r="B132" s="925" t="s">
        <v>141</v>
      </c>
      <c r="C132" s="922"/>
      <c r="D132" s="923">
        <f>'[2]总投资-发采购-0411-GLP拆分场外费用(司调)'!G148</f>
        <v>12124.859358359399</v>
      </c>
      <c r="E132" s="928">
        <f t="shared" si="5"/>
        <v>1705.3248042699577</v>
      </c>
      <c r="F132" s="920">
        <v>1</v>
      </c>
      <c r="G132" s="921"/>
      <c r="H132" s="921"/>
      <c r="I132" s="921"/>
      <c r="J132" s="697" t="s">
        <v>224</v>
      </c>
      <c r="K132" s="921"/>
      <c r="L132" s="780"/>
      <c r="M132" s="921"/>
      <c r="N132" s="921"/>
      <c r="O132" s="930"/>
      <c r="P132" s="930"/>
      <c r="Q132" s="930"/>
      <c r="R132" s="930"/>
      <c r="S132" s="931"/>
    </row>
    <row r="133" spans="1:19" hidden="1">
      <c r="A133" s="958" t="s">
        <v>275</v>
      </c>
      <c r="B133" s="925" t="s">
        <v>143</v>
      </c>
      <c r="C133" s="922"/>
      <c r="D133" s="923">
        <f>'[2]总投资-发采购-0411-GLP拆分场外费用(司调)'!G149</f>
        <v>40.926720000000003</v>
      </c>
      <c r="E133" s="928">
        <f t="shared" si="5"/>
        <v>5.7562194092827008</v>
      </c>
      <c r="F133" s="920">
        <v>1</v>
      </c>
      <c r="G133" s="921"/>
      <c r="H133" s="921"/>
      <c r="I133" s="921"/>
      <c r="J133" s="697" t="s">
        <v>224</v>
      </c>
      <c r="K133" s="921"/>
      <c r="L133" s="780"/>
      <c r="M133" s="921"/>
      <c r="N133" s="921"/>
      <c r="O133" s="930"/>
      <c r="P133" s="930"/>
      <c r="Q133" s="930"/>
      <c r="R133" s="930"/>
      <c r="S133" s="931"/>
    </row>
    <row r="134" spans="1:19" hidden="1">
      <c r="A134" s="958" t="s">
        <v>276</v>
      </c>
      <c r="B134" s="925" t="s">
        <v>145</v>
      </c>
      <c r="C134" s="922"/>
      <c r="D134" s="923">
        <f>'[2]总投资-发采购-0411-GLP拆分场外费用(司调)'!G150</f>
        <v>368.34048000000001</v>
      </c>
      <c r="E134" s="928">
        <f t="shared" si="5"/>
        <v>51.805974683544306</v>
      </c>
      <c r="F134" s="920">
        <v>1</v>
      </c>
      <c r="G134" s="921"/>
      <c r="H134" s="921"/>
      <c r="I134" s="921"/>
      <c r="J134" s="697" t="s">
        <v>224</v>
      </c>
      <c r="K134" s="921"/>
      <c r="L134" s="780"/>
      <c r="M134" s="921"/>
      <c r="N134" s="921"/>
      <c r="O134" s="930"/>
      <c r="P134" s="930"/>
      <c r="Q134" s="930"/>
      <c r="R134" s="930"/>
      <c r="S134" s="931"/>
    </row>
    <row r="135" spans="1:19" hidden="1">
      <c r="A135" s="958" t="s">
        <v>277</v>
      </c>
      <c r="B135" s="925" t="s">
        <v>147</v>
      </c>
      <c r="C135" s="922"/>
      <c r="D135" s="923">
        <f>'[2]总投资-发采购-0411-GLP拆分场外费用(司调)'!G151</f>
        <v>286.48703999999998</v>
      </c>
      <c r="E135" s="928">
        <f t="shared" si="5"/>
        <v>40.293535864978899</v>
      </c>
      <c r="F135" s="920">
        <v>1</v>
      </c>
      <c r="G135" s="921"/>
      <c r="H135" s="921"/>
      <c r="I135" s="921"/>
      <c r="J135" s="697" t="s">
        <v>224</v>
      </c>
      <c r="K135" s="921"/>
      <c r="L135" s="780"/>
      <c r="M135" s="921"/>
      <c r="N135" s="921"/>
      <c r="O135" s="930"/>
      <c r="P135" s="930"/>
      <c r="Q135" s="930"/>
      <c r="R135" s="930"/>
      <c r="S135" s="931"/>
    </row>
    <row r="136" spans="1:19" hidden="1">
      <c r="A136" s="958" t="s">
        <v>278</v>
      </c>
      <c r="B136" s="925" t="s">
        <v>149</v>
      </c>
      <c r="C136" s="922"/>
      <c r="D136" s="923">
        <f>'[2]总投资-发采购-0411-GLP拆分场外费用(司调)'!G152</f>
        <v>634.36415999999997</v>
      </c>
      <c r="E136" s="928">
        <f t="shared" si="5"/>
        <v>89.221400843881852</v>
      </c>
      <c r="F136" s="920">
        <v>1</v>
      </c>
      <c r="G136" s="921"/>
      <c r="H136" s="921"/>
      <c r="I136" s="921"/>
      <c r="J136" s="697" t="s">
        <v>224</v>
      </c>
      <c r="K136" s="921"/>
      <c r="L136" s="780"/>
      <c r="M136" s="921"/>
      <c r="N136" s="921"/>
      <c r="O136" s="930"/>
      <c r="P136" s="930"/>
      <c r="Q136" s="930"/>
      <c r="R136" s="930"/>
      <c r="S136" s="931"/>
    </row>
    <row r="137" spans="1:19" hidden="1">
      <c r="A137" s="958" t="s">
        <v>279</v>
      </c>
      <c r="B137" s="925" t="s">
        <v>151</v>
      </c>
      <c r="C137" s="922"/>
      <c r="D137" s="923">
        <f>'[2]总投资-发采购-0411-GLP拆分场外费用(司调)'!G153</f>
        <v>174.807908541004</v>
      </c>
      <c r="E137" s="928">
        <f t="shared" si="5"/>
        <v>24.586203732911954</v>
      </c>
      <c r="F137" s="920">
        <v>1</v>
      </c>
      <c r="G137" s="921"/>
      <c r="H137" s="921"/>
      <c r="I137" s="921"/>
      <c r="J137" s="697" t="s">
        <v>224</v>
      </c>
      <c r="K137" s="921"/>
      <c r="L137" s="780"/>
      <c r="M137" s="921"/>
      <c r="N137" s="921"/>
      <c r="O137" s="930"/>
      <c r="P137" s="930"/>
      <c r="Q137" s="930"/>
      <c r="R137" s="930"/>
      <c r="S137" s="931"/>
    </row>
    <row r="138" spans="1:19" hidden="1">
      <c r="A138" s="958" t="s">
        <v>280</v>
      </c>
      <c r="B138" s="925" t="s">
        <v>153</v>
      </c>
      <c r="C138" s="922"/>
      <c r="D138" s="923">
        <f>'[2]总投资-发采购-0411-GLP拆分场外费用(司调)'!G154</f>
        <v>639.48</v>
      </c>
      <c r="E138" s="928">
        <f t="shared" si="5"/>
        <v>89.940928270042193</v>
      </c>
      <c r="F138" s="920">
        <v>1</v>
      </c>
      <c r="G138" s="921"/>
      <c r="H138" s="921"/>
      <c r="I138" s="921"/>
      <c r="J138" s="697" t="s">
        <v>224</v>
      </c>
      <c r="K138" s="921"/>
      <c r="L138" s="780"/>
      <c r="M138" s="921"/>
      <c r="N138" s="921"/>
      <c r="O138" s="930"/>
      <c r="P138" s="930"/>
      <c r="Q138" s="930"/>
      <c r="R138" s="930"/>
      <c r="S138" s="931"/>
    </row>
    <row r="139" spans="1:19" hidden="1">
      <c r="A139" s="958"/>
      <c r="B139" s="959" t="s">
        <v>205</v>
      </c>
      <c r="C139" s="922"/>
      <c r="D139" s="923">
        <f>'[2]总投资-发采购-0411-GLP拆分场外费用(司调)'!G155</f>
        <v>935.35919337286396</v>
      </c>
      <c r="E139" s="928">
        <f t="shared" si="5"/>
        <v>131.55544210588803</v>
      </c>
      <c r="F139" s="920">
        <v>1</v>
      </c>
      <c r="G139" s="921"/>
      <c r="H139" s="921"/>
      <c r="I139" s="921"/>
      <c r="J139" s="697" t="s">
        <v>224</v>
      </c>
      <c r="K139" s="921"/>
      <c r="L139" s="780"/>
      <c r="M139" s="921"/>
      <c r="N139" s="921"/>
      <c r="O139" s="930"/>
      <c r="P139" s="930"/>
      <c r="Q139" s="930"/>
      <c r="R139" s="930"/>
      <c r="S139" s="931"/>
    </row>
    <row r="140" spans="1:19" hidden="1">
      <c r="A140" s="958" t="s">
        <v>281</v>
      </c>
      <c r="B140" s="925" t="s">
        <v>156</v>
      </c>
      <c r="C140" s="922"/>
      <c r="D140" s="923">
        <f>'[2]总投资-发采购-0411-GLP拆分场外费用(司调)'!G156</f>
        <v>72</v>
      </c>
      <c r="E140" s="928">
        <f t="shared" si="5"/>
        <v>10.126582278481012</v>
      </c>
      <c r="F140" s="920">
        <v>1</v>
      </c>
      <c r="G140" s="921"/>
      <c r="H140" s="921"/>
      <c r="I140" s="921"/>
      <c r="J140" s="697" t="s">
        <v>224</v>
      </c>
      <c r="K140" s="921"/>
      <c r="L140" s="780"/>
      <c r="M140" s="921"/>
      <c r="N140" s="921"/>
      <c r="O140" s="930"/>
      <c r="P140" s="930"/>
      <c r="Q140" s="930"/>
      <c r="R140" s="930"/>
      <c r="S140" s="931"/>
    </row>
    <row r="141" spans="1:19" hidden="1">
      <c r="A141" s="958"/>
      <c r="B141" s="925" t="s">
        <v>157</v>
      </c>
      <c r="C141" s="922"/>
      <c r="D141" s="923">
        <f>'[2]总投资-发采购-0411-GLP拆分场外费用(司调)'!G157</f>
        <v>1</v>
      </c>
      <c r="E141" s="928">
        <f t="shared" si="5"/>
        <v>0.14064697609001406</v>
      </c>
      <c r="F141" s="920">
        <v>1</v>
      </c>
      <c r="G141" s="921"/>
      <c r="H141" s="921"/>
      <c r="I141" s="921"/>
      <c r="J141" s="697" t="s">
        <v>224</v>
      </c>
      <c r="K141" s="921"/>
      <c r="L141" s="780"/>
      <c r="M141" s="921"/>
      <c r="N141" s="921"/>
      <c r="O141" s="930"/>
      <c r="P141" s="930"/>
      <c r="Q141" s="930"/>
      <c r="R141" s="930"/>
      <c r="S141" s="931"/>
    </row>
    <row r="142" spans="1:19" hidden="1">
      <c r="A142" s="958"/>
      <c r="B142" s="925" t="s">
        <v>158</v>
      </c>
      <c r="C142" s="922"/>
      <c r="D142" s="923">
        <f>'[2]总投资-发采购-0411-GLP拆分场外费用(司调)'!G158</f>
        <v>13</v>
      </c>
      <c r="E142" s="928">
        <f t="shared" si="5"/>
        <v>1.8284106891701828</v>
      </c>
      <c r="F142" s="920">
        <v>1</v>
      </c>
      <c r="G142" s="921"/>
      <c r="H142" s="921"/>
      <c r="I142" s="921"/>
      <c r="J142" s="697" t="s">
        <v>224</v>
      </c>
      <c r="K142" s="921"/>
      <c r="L142" s="780"/>
      <c r="M142" s="921"/>
      <c r="N142" s="921"/>
      <c r="O142" s="930"/>
      <c r="P142" s="930"/>
      <c r="Q142" s="930"/>
      <c r="R142" s="930"/>
      <c r="S142" s="931"/>
    </row>
    <row r="143" spans="1:19" hidden="1">
      <c r="A143" s="958"/>
      <c r="B143" s="925" t="s">
        <v>159</v>
      </c>
      <c r="C143" s="922"/>
      <c r="D143" s="923">
        <f>'[2]总投资-发采购-0411-GLP拆分场外费用(司调)'!G159</f>
        <v>58</v>
      </c>
      <c r="E143" s="928">
        <f t="shared" si="5"/>
        <v>8.157524613220815</v>
      </c>
      <c r="F143" s="920">
        <v>1</v>
      </c>
      <c r="G143" s="921"/>
      <c r="H143" s="921"/>
      <c r="I143" s="921"/>
      <c r="J143" s="697" t="s">
        <v>224</v>
      </c>
      <c r="K143" s="921"/>
      <c r="L143" s="780"/>
      <c r="M143" s="921"/>
      <c r="N143" s="921"/>
      <c r="O143" s="930"/>
      <c r="P143" s="930"/>
      <c r="Q143" s="930"/>
      <c r="R143" s="930"/>
      <c r="S143" s="931"/>
    </row>
    <row r="144" spans="1:19" hidden="1">
      <c r="A144" s="958">
        <v>2.14</v>
      </c>
      <c r="B144" s="925" t="s">
        <v>282</v>
      </c>
      <c r="C144" s="922"/>
      <c r="D144" s="923">
        <f>'[2]总投资-发采购-0411-GLP拆分场外费用(司调)'!G160</f>
        <v>17183.3026631424</v>
      </c>
      <c r="E144" s="928">
        <f t="shared" si="5"/>
        <v>2416.7795588104641</v>
      </c>
      <c r="F144" s="920">
        <v>1</v>
      </c>
      <c r="G144" s="921"/>
      <c r="H144" s="921"/>
      <c r="I144" s="921"/>
      <c r="J144" s="697" t="s">
        <v>224</v>
      </c>
      <c r="K144" s="921"/>
      <c r="L144" s="780"/>
      <c r="M144" s="921"/>
      <c r="N144" s="921"/>
      <c r="O144" s="930"/>
      <c r="P144" s="930"/>
      <c r="Q144" s="930"/>
      <c r="R144" s="930"/>
      <c r="S144" s="931"/>
    </row>
    <row r="145" spans="1:19" hidden="1">
      <c r="A145" s="958" t="s">
        <v>283</v>
      </c>
      <c r="B145" s="925" t="s">
        <v>141</v>
      </c>
      <c r="C145" s="922"/>
      <c r="D145" s="923">
        <f>'[2]总投资-发采购-0411-GLP拆分场外费用(司调)'!G161</f>
        <v>13708.4401640299</v>
      </c>
      <c r="E145" s="928">
        <f t="shared" si="5"/>
        <v>1928.0506559817018</v>
      </c>
      <c r="F145" s="920">
        <v>1</v>
      </c>
      <c r="G145" s="921"/>
      <c r="H145" s="921"/>
      <c r="I145" s="921"/>
      <c r="J145" s="697" t="s">
        <v>224</v>
      </c>
      <c r="K145" s="921"/>
      <c r="L145" s="780"/>
      <c r="M145" s="921"/>
      <c r="N145" s="921"/>
      <c r="O145" s="930"/>
      <c r="P145" s="930"/>
      <c r="Q145" s="930"/>
      <c r="R145" s="930"/>
      <c r="S145" s="931"/>
    </row>
    <row r="146" spans="1:19" hidden="1">
      <c r="A146" s="958" t="s">
        <v>284</v>
      </c>
      <c r="B146" s="925" t="s">
        <v>143</v>
      </c>
      <c r="C146" s="922"/>
      <c r="D146" s="923">
        <f>'[2]总投资-发采购-0411-GLP拆分场外费用(司调)'!G162</f>
        <v>46.271999999999998</v>
      </c>
      <c r="E146" s="928">
        <f t="shared" si="5"/>
        <v>6.5080168776371305</v>
      </c>
      <c r="F146" s="920">
        <v>1</v>
      </c>
      <c r="G146" s="921"/>
      <c r="H146" s="921"/>
      <c r="I146" s="921"/>
      <c r="J146" s="697" t="s">
        <v>224</v>
      </c>
      <c r="K146" s="921"/>
      <c r="L146" s="780"/>
      <c r="M146" s="921"/>
      <c r="N146" s="921"/>
      <c r="O146" s="930"/>
      <c r="P146" s="930"/>
      <c r="Q146" s="930"/>
      <c r="R146" s="930"/>
      <c r="S146" s="931"/>
    </row>
    <row r="147" spans="1:19" hidden="1">
      <c r="A147" s="958" t="s">
        <v>285</v>
      </c>
      <c r="B147" s="925" t="s">
        <v>145</v>
      </c>
      <c r="C147" s="922"/>
      <c r="D147" s="923">
        <f>'[2]总投资-发采购-0411-GLP拆分场外费用(司调)'!G163</f>
        <v>416.44799999999998</v>
      </c>
      <c r="E147" s="928">
        <f t="shared" si="5"/>
        <v>58.57215189873417</v>
      </c>
      <c r="F147" s="920">
        <v>1</v>
      </c>
      <c r="G147" s="921"/>
      <c r="H147" s="921"/>
      <c r="I147" s="921"/>
      <c r="J147" s="697" t="s">
        <v>224</v>
      </c>
      <c r="K147" s="921"/>
      <c r="L147" s="780"/>
      <c r="M147" s="921"/>
      <c r="N147" s="921"/>
      <c r="O147" s="930"/>
      <c r="P147" s="930"/>
      <c r="Q147" s="930"/>
      <c r="R147" s="930"/>
      <c r="S147" s="931"/>
    </row>
    <row r="148" spans="1:19" hidden="1">
      <c r="A148" s="958" t="s">
        <v>286</v>
      </c>
      <c r="B148" s="925" t="s">
        <v>147</v>
      </c>
      <c r="C148" s="922"/>
      <c r="D148" s="923">
        <f>'[2]总投资-发采购-0411-GLP拆分场外费用(司调)'!G164</f>
        <v>323.904</v>
      </c>
      <c r="E148" s="928">
        <f t="shared" si="5"/>
        <v>45.556118143459912</v>
      </c>
      <c r="F148" s="920">
        <v>1</v>
      </c>
      <c r="G148" s="921"/>
      <c r="H148" s="921"/>
      <c r="I148" s="921"/>
      <c r="J148" s="697" t="s">
        <v>224</v>
      </c>
      <c r="K148" s="921"/>
      <c r="L148" s="780"/>
      <c r="M148" s="921"/>
      <c r="N148" s="921"/>
      <c r="O148" s="930"/>
      <c r="P148" s="930"/>
      <c r="Q148" s="930"/>
      <c r="R148" s="930"/>
      <c r="S148" s="931"/>
    </row>
    <row r="149" spans="1:19" hidden="1">
      <c r="A149" s="958" t="s">
        <v>287</v>
      </c>
      <c r="B149" s="925" t="s">
        <v>149</v>
      </c>
      <c r="C149" s="922"/>
      <c r="D149" s="923">
        <f>'[2]总投资-发采购-0411-GLP拆分场外费用(司调)'!G165</f>
        <v>717.21600000000001</v>
      </c>
      <c r="E149" s="928">
        <f t="shared" si="5"/>
        <v>100.87426160337553</v>
      </c>
      <c r="F149" s="920">
        <v>1</v>
      </c>
      <c r="G149" s="921"/>
      <c r="H149" s="921"/>
      <c r="I149" s="921"/>
      <c r="J149" s="697" t="s">
        <v>224</v>
      </c>
      <c r="K149" s="921"/>
      <c r="L149" s="780"/>
      <c r="M149" s="921"/>
      <c r="N149" s="921"/>
      <c r="O149" s="930"/>
      <c r="P149" s="930"/>
      <c r="Q149" s="930"/>
      <c r="R149" s="930"/>
      <c r="S149" s="931"/>
    </row>
    <row r="150" spans="1:19" hidden="1">
      <c r="A150" s="958" t="s">
        <v>288</v>
      </c>
      <c r="B150" s="925" t="s">
        <v>151</v>
      </c>
      <c r="C150" s="922"/>
      <c r="D150" s="923">
        <f>'[2]总投资-发采购-0411-GLP拆分场外费用(司调)'!G166</f>
        <v>197.63889077867299</v>
      </c>
      <c r="E150" s="928">
        <f t="shared" si="5"/>
        <v>27.797312345804919</v>
      </c>
      <c r="F150" s="920">
        <v>1</v>
      </c>
      <c r="G150" s="921"/>
      <c r="H150" s="921"/>
      <c r="I150" s="921"/>
      <c r="J150" s="697" t="s">
        <v>224</v>
      </c>
      <c r="K150" s="921"/>
      <c r="L150" s="780"/>
      <c r="M150" s="921"/>
      <c r="N150" s="921"/>
      <c r="O150" s="930"/>
      <c r="P150" s="930"/>
      <c r="Q150" s="930"/>
      <c r="R150" s="930"/>
      <c r="S150" s="931"/>
    </row>
    <row r="151" spans="1:19" hidden="1">
      <c r="A151" s="958" t="s">
        <v>289</v>
      </c>
      <c r="B151" s="925" t="s">
        <v>153</v>
      </c>
      <c r="C151" s="922"/>
      <c r="D151" s="923">
        <f>'[2]总投资-发采购-0411-GLP拆分场外费用(司调)'!G167</f>
        <v>723</v>
      </c>
      <c r="E151" s="928">
        <f t="shared" si="5"/>
        <v>101.68776371308016</v>
      </c>
      <c r="F151" s="920">
        <v>1</v>
      </c>
      <c r="G151" s="921"/>
      <c r="H151" s="921"/>
      <c r="I151" s="921"/>
      <c r="J151" s="697" t="s">
        <v>224</v>
      </c>
      <c r="K151" s="921"/>
      <c r="L151" s="780"/>
      <c r="M151" s="921"/>
      <c r="N151" s="921"/>
      <c r="O151" s="930"/>
      <c r="P151" s="930"/>
      <c r="Q151" s="930"/>
      <c r="R151" s="930"/>
      <c r="S151" s="931"/>
    </row>
    <row r="152" spans="1:19" hidden="1">
      <c r="A152" s="958"/>
      <c r="B152" s="959" t="s">
        <v>205</v>
      </c>
      <c r="C152" s="922"/>
      <c r="D152" s="923">
        <f>'[2]总投资-发采购-0411-GLP拆分场外费用(司调)'!G168</f>
        <v>972.38360833383695</v>
      </c>
      <c r="E152" s="928">
        <f t="shared" si="5"/>
        <v>136.76281411165075</v>
      </c>
      <c r="F152" s="920">
        <v>1</v>
      </c>
      <c r="G152" s="921"/>
      <c r="H152" s="921"/>
      <c r="I152" s="921"/>
      <c r="J152" s="697" t="s">
        <v>224</v>
      </c>
      <c r="K152" s="921"/>
      <c r="L152" s="780"/>
      <c r="M152" s="921"/>
      <c r="N152" s="921"/>
      <c r="O152" s="930"/>
      <c r="P152" s="930"/>
      <c r="Q152" s="930"/>
      <c r="R152" s="930"/>
      <c r="S152" s="931"/>
    </row>
    <row r="153" spans="1:19" hidden="1">
      <c r="A153" s="958" t="s">
        <v>290</v>
      </c>
      <c r="B153" s="925" t="s">
        <v>156</v>
      </c>
      <c r="C153" s="922"/>
      <c r="D153" s="923">
        <f>'[2]总投资-发采购-0411-GLP拆分场外费用(司调)'!G169</f>
        <v>78</v>
      </c>
      <c r="E153" s="928">
        <f t="shared" si="5"/>
        <v>10.970464135021096</v>
      </c>
      <c r="F153" s="920">
        <v>1</v>
      </c>
      <c r="G153" s="921"/>
      <c r="H153" s="921"/>
      <c r="I153" s="921"/>
      <c r="J153" s="697" t="s">
        <v>224</v>
      </c>
      <c r="K153" s="921"/>
      <c r="L153" s="780"/>
      <c r="M153" s="921"/>
      <c r="N153" s="921"/>
      <c r="O153" s="930"/>
      <c r="P153" s="930"/>
      <c r="Q153" s="930"/>
      <c r="R153" s="930"/>
      <c r="S153" s="931"/>
    </row>
    <row r="154" spans="1:19" hidden="1">
      <c r="A154" s="958"/>
      <c r="B154" s="925" t="s">
        <v>157</v>
      </c>
      <c r="C154" s="922"/>
      <c r="D154" s="923">
        <f>'[2]总投资-发采购-0411-GLP拆分场外费用(司调)'!G170</f>
        <v>1</v>
      </c>
      <c r="E154" s="928">
        <f t="shared" si="5"/>
        <v>0.14064697609001406</v>
      </c>
      <c r="F154" s="920">
        <v>1</v>
      </c>
      <c r="G154" s="921"/>
      <c r="H154" s="921"/>
      <c r="I154" s="921"/>
      <c r="J154" s="697" t="s">
        <v>224</v>
      </c>
      <c r="K154" s="921"/>
      <c r="L154" s="780"/>
      <c r="M154" s="921"/>
      <c r="N154" s="921"/>
      <c r="O154" s="930"/>
      <c r="P154" s="930"/>
      <c r="Q154" s="930"/>
      <c r="R154" s="930"/>
      <c r="S154" s="931"/>
    </row>
    <row r="155" spans="1:19" hidden="1">
      <c r="A155" s="958"/>
      <c r="B155" s="925" t="s">
        <v>158</v>
      </c>
      <c r="C155" s="922"/>
      <c r="D155" s="923">
        <f>'[2]总投资-发采购-0411-GLP拆分场外费用(司调)'!G171</f>
        <v>14</v>
      </c>
      <c r="E155" s="928">
        <f t="shared" si="5"/>
        <v>1.9690576652601968</v>
      </c>
      <c r="F155" s="920">
        <v>1</v>
      </c>
      <c r="G155" s="921"/>
      <c r="H155" s="921"/>
      <c r="I155" s="921"/>
      <c r="J155" s="697" t="s">
        <v>224</v>
      </c>
      <c r="K155" s="921"/>
      <c r="L155" s="780"/>
      <c r="M155" s="921"/>
      <c r="N155" s="921"/>
      <c r="O155" s="930"/>
      <c r="P155" s="930"/>
      <c r="Q155" s="930"/>
      <c r="R155" s="930"/>
      <c r="S155" s="931"/>
    </row>
    <row r="156" spans="1:19" hidden="1">
      <c r="A156" s="958"/>
      <c r="B156" s="925" t="s">
        <v>159</v>
      </c>
      <c r="C156" s="922"/>
      <c r="D156" s="923">
        <f>'[2]总投资-发采购-0411-GLP拆分场外费用(司调)'!G172</f>
        <v>63</v>
      </c>
      <c r="E156" s="928">
        <f t="shared" si="5"/>
        <v>8.8607594936708853</v>
      </c>
      <c r="F156" s="920">
        <v>1</v>
      </c>
      <c r="G156" s="921"/>
      <c r="H156" s="921"/>
      <c r="I156" s="921"/>
      <c r="J156" s="697" t="s">
        <v>224</v>
      </c>
      <c r="K156" s="921"/>
      <c r="L156" s="780"/>
      <c r="M156" s="921"/>
      <c r="N156" s="921"/>
      <c r="O156" s="930"/>
      <c r="P156" s="930"/>
      <c r="Q156" s="930"/>
      <c r="R156" s="930"/>
      <c r="S156" s="931"/>
    </row>
    <row r="157" spans="1:19" ht="14.55" customHeight="1">
      <c r="A157" s="775" t="s">
        <v>41</v>
      </c>
      <c r="B157" s="782" t="s">
        <v>291</v>
      </c>
      <c r="C157" s="709" t="s">
        <v>292</v>
      </c>
      <c r="D157" s="710">
        <f>SUM('[2]总投资-发采购-0411-GLP拆分场外费用(司调)'!G30,'[2]总投资-发采购-0411-GLP拆分场外费用(司调)'!G43,'[2]总投资-发采购-0411-GLP拆分场外费用(司调)'!G56,'[2]总投资-发采购-0411-GLP拆分场外费用(司调)'!G69)</f>
        <v>23398.367016560886</v>
      </c>
      <c r="E157" s="711">
        <f t="shared" si="5"/>
        <v>3290.9095663236126</v>
      </c>
      <c r="F157" s="920">
        <v>1</v>
      </c>
      <c r="G157" s="606" t="s">
        <v>133</v>
      </c>
      <c r="H157" s="606" t="s">
        <v>30</v>
      </c>
      <c r="I157" s="606">
        <v>18</v>
      </c>
      <c r="J157" s="697" t="s">
        <v>224</v>
      </c>
      <c r="K157" s="606" t="s">
        <v>135</v>
      </c>
      <c r="L157" s="780"/>
      <c r="M157" s="606"/>
      <c r="N157" s="606"/>
      <c r="O157" s="738" t="s">
        <v>293</v>
      </c>
      <c r="P157" s="738" t="s">
        <v>294</v>
      </c>
      <c r="Q157" s="738" t="s">
        <v>295</v>
      </c>
      <c r="R157" s="738" t="s">
        <v>296</v>
      </c>
      <c r="S157" s="697"/>
    </row>
    <row r="158" spans="1:19" hidden="1">
      <c r="A158" s="958">
        <v>2.4</v>
      </c>
      <c r="B158" s="925" t="s">
        <v>297</v>
      </c>
      <c r="C158" s="922"/>
      <c r="D158" s="923">
        <f>'[2]总投资-发采购-0411-GLP拆分场外费用(司调)'!G30</f>
        <v>5921.3918794486299</v>
      </c>
      <c r="E158" s="928">
        <f t="shared" si="5"/>
        <v>832.82586208841485</v>
      </c>
      <c r="F158" s="920">
        <v>1</v>
      </c>
      <c r="G158" s="606"/>
      <c r="H158" s="606"/>
      <c r="I158" s="606"/>
      <c r="J158" s="697" t="s">
        <v>224</v>
      </c>
      <c r="K158" s="606"/>
      <c r="L158" s="606"/>
      <c r="M158" s="606"/>
      <c r="N158" s="606"/>
      <c r="O158" s="738"/>
      <c r="P158" s="738"/>
      <c r="Q158" s="738"/>
      <c r="R158" s="738"/>
      <c r="S158" s="697"/>
    </row>
    <row r="159" spans="1:19" hidden="1">
      <c r="A159" s="957" t="s">
        <v>298</v>
      </c>
      <c r="B159" s="925" t="s">
        <v>141</v>
      </c>
      <c r="C159" s="922"/>
      <c r="D159" s="923">
        <f>'[2]总投资-发采购-0411-GLP拆分场外费用(司调)'!G31</f>
        <v>3574</v>
      </c>
      <c r="E159" s="928">
        <f t="shared" si="5"/>
        <v>502.67229254571026</v>
      </c>
      <c r="F159" s="920">
        <v>1</v>
      </c>
      <c r="G159" s="606"/>
      <c r="H159" s="606"/>
      <c r="I159" s="606"/>
      <c r="J159" s="697" t="s">
        <v>224</v>
      </c>
      <c r="K159" s="606"/>
      <c r="L159" s="606"/>
      <c r="M159" s="606"/>
      <c r="N159" s="606"/>
      <c r="O159" s="738"/>
      <c r="P159" s="738"/>
      <c r="Q159" s="738"/>
      <c r="R159" s="738"/>
      <c r="S159" s="697"/>
    </row>
    <row r="160" spans="1:19" hidden="1">
      <c r="A160" s="957" t="s">
        <v>299</v>
      </c>
      <c r="B160" s="925" t="s">
        <v>143</v>
      </c>
      <c r="C160" s="922"/>
      <c r="D160" s="923">
        <f>'[2]总投资-发采购-0411-GLP拆分场外费用(司调)'!G32</f>
        <v>18.29888</v>
      </c>
      <c r="E160" s="928">
        <f t="shared" si="5"/>
        <v>2.5736821378340364</v>
      </c>
      <c r="F160" s="920">
        <v>1</v>
      </c>
      <c r="G160" s="606"/>
      <c r="H160" s="606"/>
      <c r="I160" s="606"/>
      <c r="J160" s="697" t="s">
        <v>224</v>
      </c>
      <c r="K160" s="606"/>
      <c r="L160" s="606"/>
      <c r="M160" s="606"/>
      <c r="N160" s="606"/>
      <c r="O160" s="738"/>
      <c r="P160" s="738"/>
      <c r="Q160" s="738"/>
      <c r="R160" s="738"/>
      <c r="S160" s="697"/>
    </row>
    <row r="161" spans="1:19" hidden="1">
      <c r="A161" s="957" t="s">
        <v>300</v>
      </c>
      <c r="B161" s="925" t="s">
        <v>145</v>
      </c>
      <c r="C161" s="922"/>
      <c r="D161" s="923">
        <f>'[2]总投资-发采购-0411-GLP拆分场外费用(司调)'!G33</f>
        <v>164.68992</v>
      </c>
      <c r="E161" s="928">
        <f t="shared" si="5"/>
        <v>23.163139240506329</v>
      </c>
      <c r="F161" s="920">
        <v>1</v>
      </c>
      <c r="G161" s="606"/>
      <c r="H161" s="606"/>
      <c r="I161" s="606"/>
      <c r="J161" s="697" t="s">
        <v>224</v>
      </c>
      <c r="K161" s="606"/>
      <c r="L161" s="606"/>
      <c r="M161" s="606"/>
      <c r="N161" s="606"/>
      <c r="O161" s="738"/>
      <c r="P161" s="738"/>
      <c r="Q161" s="738"/>
      <c r="R161" s="738"/>
      <c r="S161" s="697"/>
    </row>
    <row r="162" spans="1:19" hidden="1">
      <c r="A162" s="957" t="s">
        <v>301</v>
      </c>
      <c r="B162" s="925" t="s">
        <v>147</v>
      </c>
      <c r="C162" s="922"/>
      <c r="D162" s="923">
        <f>'[2]总投资-发采购-0411-GLP拆分场外费用(司调)'!G34</f>
        <v>128.09216000000001</v>
      </c>
      <c r="E162" s="928">
        <f t="shared" si="5"/>
        <v>18.015774964838258</v>
      </c>
      <c r="F162" s="920">
        <v>1</v>
      </c>
      <c r="G162" s="606"/>
      <c r="H162" s="606"/>
      <c r="I162" s="606"/>
      <c r="J162" s="697" t="s">
        <v>224</v>
      </c>
      <c r="K162" s="606"/>
      <c r="L162" s="606"/>
      <c r="M162" s="606"/>
      <c r="N162" s="606"/>
      <c r="O162" s="738"/>
      <c r="P162" s="738"/>
      <c r="Q162" s="738"/>
      <c r="R162" s="738"/>
      <c r="S162" s="697"/>
    </row>
    <row r="163" spans="1:19" hidden="1">
      <c r="A163" s="957" t="s">
        <v>302</v>
      </c>
      <c r="B163" s="925" t="s">
        <v>149</v>
      </c>
      <c r="C163" s="922"/>
      <c r="D163" s="923">
        <f>'[2]总投资-发采购-0411-GLP拆分场外费用(司调)'!G35</f>
        <v>283.63263999999998</v>
      </c>
      <c r="E163" s="928">
        <f t="shared" si="5"/>
        <v>39.892073136427562</v>
      </c>
      <c r="F163" s="920">
        <v>1</v>
      </c>
      <c r="G163" s="606"/>
      <c r="H163" s="606"/>
      <c r="I163" s="606"/>
      <c r="J163" s="697" t="s">
        <v>224</v>
      </c>
      <c r="K163" s="606"/>
      <c r="L163" s="606"/>
      <c r="M163" s="606"/>
      <c r="N163" s="606"/>
      <c r="O163" s="738"/>
      <c r="P163" s="738"/>
      <c r="Q163" s="738"/>
      <c r="R163" s="738"/>
      <c r="S163" s="697"/>
    </row>
    <row r="164" spans="1:19" hidden="1">
      <c r="A164" s="957" t="s">
        <v>303</v>
      </c>
      <c r="B164" s="925" t="s">
        <v>151</v>
      </c>
      <c r="C164" s="922"/>
      <c r="D164" s="923">
        <f>'[2]总投资-发采购-0411-GLP拆分场外费用(司调)'!G36</f>
        <v>78.158937277231303</v>
      </c>
      <c r="E164" s="928">
        <f t="shared" si="5"/>
        <v>10.992818182451659</v>
      </c>
      <c r="F164" s="920">
        <v>1</v>
      </c>
      <c r="G164" s="606"/>
      <c r="H164" s="606"/>
      <c r="I164" s="606"/>
      <c r="J164" s="697" t="s">
        <v>224</v>
      </c>
      <c r="K164" s="606"/>
      <c r="L164" s="606"/>
      <c r="M164" s="606"/>
      <c r="N164" s="606"/>
      <c r="O164" s="738"/>
      <c r="P164" s="738"/>
      <c r="Q164" s="738"/>
      <c r="R164" s="738"/>
      <c r="S164" s="697"/>
    </row>
    <row r="165" spans="1:19" hidden="1">
      <c r="A165" s="957" t="s">
        <v>304</v>
      </c>
      <c r="B165" s="925" t="s">
        <v>153</v>
      </c>
      <c r="C165" s="922"/>
      <c r="D165" s="923">
        <f>'[2]总投资-发采购-0411-GLP拆分场外费用(司调)'!G37</f>
        <v>571.84</v>
      </c>
      <c r="E165" s="928">
        <f t="shared" si="5"/>
        <v>80.427566807313639</v>
      </c>
      <c r="F165" s="920">
        <v>1</v>
      </c>
      <c r="G165" s="606"/>
      <c r="H165" s="606"/>
      <c r="I165" s="606"/>
      <c r="J165" s="697" t="s">
        <v>224</v>
      </c>
      <c r="K165" s="606"/>
      <c r="L165" s="606"/>
      <c r="M165" s="606"/>
      <c r="N165" s="606"/>
      <c r="O165" s="738"/>
      <c r="P165" s="738"/>
      <c r="Q165" s="738"/>
      <c r="R165" s="738"/>
      <c r="S165" s="697"/>
    </row>
    <row r="166" spans="1:19" hidden="1">
      <c r="A166" s="957"/>
      <c r="B166" s="959" t="s">
        <v>205</v>
      </c>
      <c r="C166" s="922"/>
      <c r="D166" s="923">
        <f>'[2]总投资-发采购-0411-GLP拆分场外费用(司调)'!G38</f>
        <v>1036.6793421714001</v>
      </c>
      <c r="E166" s="928">
        <f t="shared" si="5"/>
        <v>145.80581465139241</v>
      </c>
      <c r="F166" s="920">
        <v>1</v>
      </c>
      <c r="G166" s="606"/>
      <c r="H166" s="606"/>
      <c r="I166" s="606"/>
      <c r="J166" s="697" t="s">
        <v>224</v>
      </c>
      <c r="K166" s="606"/>
      <c r="L166" s="606"/>
      <c r="M166" s="606"/>
      <c r="N166" s="606"/>
      <c r="O166" s="738"/>
      <c r="P166" s="738"/>
      <c r="Q166" s="738"/>
      <c r="R166" s="738"/>
      <c r="S166" s="697"/>
    </row>
    <row r="167" spans="1:19" hidden="1">
      <c r="A167" s="957" t="s">
        <v>305</v>
      </c>
      <c r="B167" s="925" t="s">
        <v>156</v>
      </c>
      <c r="C167" s="922"/>
      <c r="D167" s="923">
        <f>'[2]总投资-发采购-0411-GLP拆分场外费用(司调)'!G39</f>
        <v>66</v>
      </c>
      <c r="E167" s="928">
        <f t="shared" si="5"/>
        <v>9.2827004219409286</v>
      </c>
      <c r="F167" s="920">
        <v>1</v>
      </c>
      <c r="G167" s="606"/>
      <c r="H167" s="606"/>
      <c r="I167" s="606"/>
      <c r="J167" s="697" t="s">
        <v>224</v>
      </c>
      <c r="K167" s="606"/>
      <c r="L167" s="606"/>
      <c r="M167" s="606"/>
      <c r="N167" s="606"/>
      <c r="O167" s="738"/>
      <c r="P167" s="738"/>
      <c r="Q167" s="738"/>
      <c r="R167" s="738"/>
      <c r="S167" s="697"/>
    </row>
    <row r="168" spans="1:19" hidden="1">
      <c r="A168" s="957"/>
      <c r="B168" s="925" t="s">
        <v>157</v>
      </c>
      <c r="C168" s="922"/>
      <c r="D168" s="923">
        <f>'[2]总投资-发采购-0411-GLP拆分场外费用(司调)'!G40</f>
        <v>2</v>
      </c>
      <c r="E168" s="928">
        <f t="shared" si="5"/>
        <v>0.28129395218002812</v>
      </c>
      <c r="F168" s="920">
        <v>1</v>
      </c>
      <c r="G168" s="606"/>
      <c r="H168" s="606"/>
      <c r="I168" s="606"/>
      <c r="J168" s="697" t="s">
        <v>224</v>
      </c>
      <c r="K168" s="606"/>
      <c r="L168" s="606"/>
      <c r="M168" s="606"/>
      <c r="N168" s="606"/>
      <c r="O168" s="738"/>
      <c r="P168" s="738"/>
      <c r="Q168" s="738"/>
      <c r="R168" s="738"/>
      <c r="S168" s="697"/>
    </row>
    <row r="169" spans="1:19" hidden="1">
      <c r="A169" s="957"/>
      <c r="B169" s="925" t="s">
        <v>158</v>
      </c>
      <c r="C169" s="922"/>
      <c r="D169" s="923">
        <f>'[2]总投资-发采购-0411-GLP拆分场外费用(司调)'!G41</f>
        <v>11</v>
      </c>
      <c r="E169" s="928">
        <f t="shared" si="5"/>
        <v>1.5471167369901546</v>
      </c>
      <c r="F169" s="920">
        <v>1</v>
      </c>
      <c r="G169" s="606"/>
      <c r="H169" s="606"/>
      <c r="I169" s="606"/>
      <c r="J169" s="697" t="s">
        <v>224</v>
      </c>
      <c r="K169" s="606"/>
      <c r="L169" s="606"/>
      <c r="M169" s="606"/>
      <c r="N169" s="606"/>
      <c r="O169" s="738"/>
      <c r="P169" s="738"/>
      <c r="Q169" s="738"/>
      <c r="R169" s="738"/>
      <c r="S169" s="697"/>
    </row>
    <row r="170" spans="1:19" hidden="1">
      <c r="A170" s="957"/>
      <c r="B170" s="925" t="s">
        <v>159</v>
      </c>
      <c r="C170" s="922"/>
      <c r="D170" s="923">
        <f>'[2]总投资-发采购-0411-GLP拆分场外费用(司调)'!G42</f>
        <v>53</v>
      </c>
      <c r="E170" s="928">
        <f t="shared" si="5"/>
        <v>7.4542897327707447</v>
      </c>
      <c r="F170" s="920">
        <v>1</v>
      </c>
      <c r="G170" s="606"/>
      <c r="H170" s="606"/>
      <c r="I170" s="606"/>
      <c r="J170" s="697" t="s">
        <v>224</v>
      </c>
      <c r="K170" s="606"/>
      <c r="L170" s="606"/>
      <c r="M170" s="606"/>
      <c r="N170" s="606"/>
      <c r="O170" s="738"/>
      <c r="P170" s="738"/>
      <c r="Q170" s="738"/>
      <c r="R170" s="738"/>
      <c r="S170" s="697"/>
    </row>
    <row r="171" spans="1:19" hidden="1">
      <c r="A171" s="957">
        <v>2.5</v>
      </c>
      <c r="B171" s="925" t="s">
        <v>306</v>
      </c>
      <c r="C171" s="922"/>
      <c r="D171" s="923">
        <f>'[2]总投资-发采购-0411-GLP拆分场外费用(司调)'!G43</f>
        <v>5952.1708779011697</v>
      </c>
      <c r="E171" s="928">
        <f t="shared" si="5"/>
        <v>837.15483514784376</v>
      </c>
      <c r="F171" s="920">
        <v>1</v>
      </c>
      <c r="G171" s="606"/>
      <c r="H171" s="606"/>
      <c r="I171" s="606"/>
      <c r="J171" s="697" t="s">
        <v>224</v>
      </c>
      <c r="K171" s="606"/>
      <c r="L171" s="606"/>
      <c r="M171" s="606"/>
      <c r="N171" s="606"/>
      <c r="O171" s="738"/>
      <c r="P171" s="738"/>
      <c r="Q171" s="738"/>
      <c r="R171" s="738"/>
      <c r="S171" s="697"/>
    </row>
    <row r="172" spans="1:19" hidden="1">
      <c r="A172" s="957" t="s">
        <v>307</v>
      </c>
      <c r="B172" s="925" t="s">
        <v>141</v>
      </c>
      <c r="C172" s="922"/>
      <c r="D172" s="923">
        <f>'[2]总投资-发采购-0411-GLP拆分场外费用(司调)'!G44</f>
        <v>3574</v>
      </c>
      <c r="E172" s="928">
        <f t="shared" si="5"/>
        <v>502.67229254571026</v>
      </c>
      <c r="F172" s="920">
        <v>1</v>
      </c>
      <c r="G172" s="606"/>
      <c r="H172" s="606"/>
      <c r="I172" s="606"/>
      <c r="J172" s="697" t="s">
        <v>224</v>
      </c>
      <c r="K172" s="606"/>
      <c r="L172" s="606"/>
      <c r="M172" s="606"/>
      <c r="N172" s="606"/>
      <c r="O172" s="738"/>
      <c r="P172" s="738"/>
      <c r="Q172" s="738"/>
      <c r="R172" s="738"/>
      <c r="S172" s="697"/>
    </row>
    <row r="173" spans="1:19" hidden="1">
      <c r="A173" s="957" t="s">
        <v>308</v>
      </c>
      <c r="B173" s="925" t="s">
        <v>143</v>
      </c>
      <c r="C173" s="922"/>
      <c r="D173" s="923">
        <f>'[2]总投资-发采购-0411-GLP拆分场外费用(司调)'!G45</f>
        <v>18.29888</v>
      </c>
      <c r="E173" s="928">
        <f t="shared" si="5"/>
        <v>2.5736821378340364</v>
      </c>
      <c r="F173" s="920">
        <v>1</v>
      </c>
      <c r="G173" s="606"/>
      <c r="H173" s="606"/>
      <c r="I173" s="606"/>
      <c r="J173" s="697" t="s">
        <v>224</v>
      </c>
      <c r="K173" s="606"/>
      <c r="L173" s="606"/>
      <c r="M173" s="606"/>
      <c r="N173" s="606"/>
      <c r="O173" s="738"/>
      <c r="P173" s="738"/>
      <c r="Q173" s="738"/>
      <c r="R173" s="738"/>
      <c r="S173" s="697"/>
    </row>
    <row r="174" spans="1:19" hidden="1">
      <c r="A174" s="957" t="s">
        <v>309</v>
      </c>
      <c r="B174" s="925" t="s">
        <v>145</v>
      </c>
      <c r="C174" s="922"/>
      <c r="D174" s="923">
        <f>'[2]总投资-发采购-0411-GLP拆分场外费用(司调)'!G46</f>
        <v>164.68992</v>
      </c>
      <c r="E174" s="928">
        <f t="shared" si="5"/>
        <v>23.163139240506329</v>
      </c>
      <c r="F174" s="920">
        <v>1</v>
      </c>
      <c r="G174" s="606"/>
      <c r="H174" s="606"/>
      <c r="I174" s="606"/>
      <c r="J174" s="697" t="s">
        <v>224</v>
      </c>
      <c r="K174" s="606"/>
      <c r="L174" s="606"/>
      <c r="M174" s="606"/>
      <c r="N174" s="606"/>
      <c r="O174" s="738"/>
      <c r="P174" s="738"/>
      <c r="Q174" s="738"/>
      <c r="R174" s="738"/>
      <c r="S174" s="697"/>
    </row>
    <row r="175" spans="1:19" hidden="1">
      <c r="A175" s="957" t="s">
        <v>310</v>
      </c>
      <c r="B175" s="925" t="s">
        <v>147</v>
      </c>
      <c r="C175" s="922"/>
      <c r="D175" s="923">
        <f>'[2]总投资-发采购-0411-GLP拆分场外费用(司调)'!G47</f>
        <v>128.09216000000001</v>
      </c>
      <c r="E175" s="928">
        <f t="shared" si="5"/>
        <v>18.015774964838258</v>
      </c>
      <c r="F175" s="920">
        <v>1</v>
      </c>
      <c r="G175" s="606"/>
      <c r="H175" s="606"/>
      <c r="I175" s="606"/>
      <c r="J175" s="697" t="s">
        <v>224</v>
      </c>
      <c r="K175" s="606"/>
      <c r="L175" s="606"/>
      <c r="M175" s="606"/>
      <c r="N175" s="606"/>
      <c r="O175" s="738"/>
      <c r="P175" s="738"/>
      <c r="Q175" s="738"/>
      <c r="R175" s="738"/>
      <c r="S175" s="697"/>
    </row>
    <row r="176" spans="1:19" hidden="1">
      <c r="A176" s="957" t="s">
        <v>311</v>
      </c>
      <c r="B176" s="925" t="s">
        <v>149</v>
      </c>
      <c r="C176" s="922"/>
      <c r="D176" s="923">
        <f>'[2]总投资-发采购-0411-GLP拆分场外费用(司调)'!G48</f>
        <v>283.63263999999998</v>
      </c>
      <c r="E176" s="928">
        <f t="shared" si="5"/>
        <v>39.892073136427562</v>
      </c>
      <c r="F176" s="920">
        <v>1</v>
      </c>
      <c r="G176" s="606"/>
      <c r="H176" s="606"/>
      <c r="I176" s="606"/>
      <c r="J176" s="697" t="s">
        <v>224</v>
      </c>
      <c r="K176" s="606"/>
      <c r="L176" s="606"/>
      <c r="M176" s="606"/>
      <c r="N176" s="606"/>
      <c r="O176" s="738"/>
      <c r="P176" s="738"/>
      <c r="Q176" s="738"/>
      <c r="R176" s="738"/>
      <c r="S176" s="697"/>
    </row>
    <row r="177" spans="1:19" hidden="1">
      <c r="A177" s="957" t="s">
        <v>312</v>
      </c>
      <c r="B177" s="925" t="s">
        <v>151</v>
      </c>
      <c r="C177" s="922"/>
      <c r="D177" s="923">
        <f>'[2]总投资-发采购-0411-GLP拆分场外费用(司调)'!G49</f>
        <v>78.158937277231303</v>
      </c>
      <c r="E177" s="928">
        <f t="shared" si="5"/>
        <v>10.992818182451659</v>
      </c>
      <c r="F177" s="920">
        <v>1</v>
      </c>
      <c r="G177" s="606"/>
      <c r="H177" s="606"/>
      <c r="I177" s="606"/>
      <c r="J177" s="697" t="s">
        <v>224</v>
      </c>
      <c r="K177" s="606"/>
      <c r="L177" s="606"/>
      <c r="M177" s="606"/>
      <c r="N177" s="606"/>
      <c r="O177" s="738"/>
      <c r="P177" s="738"/>
      <c r="Q177" s="738"/>
      <c r="R177" s="738"/>
      <c r="S177" s="697"/>
    </row>
    <row r="178" spans="1:19" hidden="1">
      <c r="A178" s="957" t="s">
        <v>313</v>
      </c>
      <c r="B178" s="925" t="s">
        <v>153</v>
      </c>
      <c r="C178" s="922"/>
      <c r="D178" s="923">
        <f>'[2]总投资-发采购-0411-GLP拆分场外费用(司调)'!G50</f>
        <v>571.84</v>
      </c>
      <c r="E178" s="928">
        <f t="shared" si="5"/>
        <v>80.427566807313639</v>
      </c>
      <c r="F178" s="920">
        <v>1</v>
      </c>
      <c r="G178" s="606"/>
      <c r="H178" s="606"/>
      <c r="I178" s="606"/>
      <c r="J178" s="697" t="s">
        <v>224</v>
      </c>
      <c r="K178" s="606"/>
      <c r="L178" s="606"/>
      <c r="M178" s="606"/>
      <c r="N178" s="606"/>
      <c r="O178" s="738"/>
      <c r="P178" s="738"/>
      <c r="Q178" s="738"/>
      <c r="R178" s="738"/>
      <c r="S178" s="697"/>
    </row>
    <row r="179" spans="1:19" hidden="1">
      <c r="A179" s="957"/>
      <c r="B179" s="959" t="s">
        <v>205</v>
      </c>
      <c r="C179" s="922"/>
      <c r="D179" s="923">
        <f>'[2]总投资-发采购-0411-GLP拆分场外费用(司调)'!G51</f>
        <v>1068.4583406239401</v>
      </c>
      <c r="E179" s="928">
        <f t="shared" si="5"/>
        <v>150.27543468691141</v>
      </c>
      <c r="F179" s="920">
        <v>1</v>
      </c>
      <c r="G179" s="606"/>
      <c r="H179" s="606"/>
      <c r="I179" s="606"/>
      <c r="J179" s="697" t="s">
        <v>224</v>
      </c>
      <c r="K179" s="606"/>
      <c r="L179" s="606"/>
      <c r="M179" s="606"/>
      <c r="N179" s="606"/>
      <c r="O179" s="738"/>
      <c r="P179" s="738"/>
      <c r="Q179" s="738"/>
      <c r="R179" s="738"/>
      <c r="S179" s="697"/>
    </row>
    <row r="180" spans="1:19" hidden="1">
      <c r="A180" s="957" t="s">
        <v>314</v>
      </c>
      <c r="B180" s="925" t="s">
        <v>156</v>
      </c>
      <c r="C180" s="922"/>
      <c r="D180" s="923">
        <f>'[2]总投资-发采购-0411-GLP拆分场外费用(司调)'!G52</f>
        <v>65</v>
      </c>
      <c r="E180" s="928">
        <f t="shared" si="5"/>
        <v>9.1420534458509142</v>
      </c>
      <c r="F180" s="920">
        <v>1</v>
      </c>
      <c r="G180" s="606"/>
      <c r="H180" s="606"/>
      <c r="I180" s="606"/>
      <c r="J180" s="697" t="s">
        <v>224</v>
      </c>
      <c r="K180" s="606"/>
      <c r="L180" s="606"/>
      <c r="M180" s="606"/>
      <c r="N180" s="606"/>
      <c r="O180" s="738"/>
      <c r="P180" s="738"/>
      <c r="Q180" s="738"/>
      <c r="R180" s="738"/>
      <c r="S180" s="697"/>
    </row>
    <row r="181" spans="1:19" hidden="1">
      <c r="A181" s="957"/>
      <c r="B181" s="925" t="s">
        <v>157</v>
      </c>
      <c r="C181" s="922"/>
      <c r="D181" s="923">
        <f>'[2]总投资-发采购-0411-GLP拆分场外费用(司调)'!G53</f>
        <v>1</v>
      </c>
      <c r="E181" s="928">
        <f t="shared" si="5"/>
        <v>0.14064697609001406</v>
      </c>
      <c r="F181" s="920">
        <v>1</v>
      </c>
      <c r="G181" s="606"/>
      <c r="H181" s="606"/>
      <c r="I181" s="606"/>
      <c r="J181" s="697" t="s">
        <v>224</v>
      </c>
      <c r="K181" s="606"/>
      <c r="L181" s="606"/>
      <c r="M181" s="606"/>
      <c r="N181" s="606"/>
      <c r="O181" s="738"/>
      <c r="P181" s="738"/>
      <c r="Q181" s="738"/>
      <c r="R181" s="738"/>
      <c r="S181" s="697"/>
    </row>
    <row r="182" spans="1:19" hidden="1">
      <c r="A182" s="957"/>
      <c r="B182" s="925" t="s">
        <v>158</v>
      </c>
      <c r="C182" s="922"/>
      <c r="D182" s="923">
        <f>'[2]总投资-发采购-0411-GLP拆分场外费用(司调)'!G54</f>
        <v>11</v>
      </c>
      <c r="E182" s="928">
        <f t="shared" si="5"/>
        <v>1.5471167369901546</v>
      </c>
      <c r="F182" s="920">
        <v>1</v>
      </c>
      <c r="G182" s="606"/>
      <c r="H182" s="606"/>
      <c r="I182" s="606"/>
      <c r="J182" s="697" t="s">
        <v>224</v>
      </c>
      <c r="K182" s="606"/>
      <c r="L182" s="606"/>
      <c r="M182" s="606"/>
      <c r="N182" s="606"/>
      <c r="O182" s="738"/>
      <c r="P182" s="738"/>
      <c r="Q182" s="738"/>
      <c r="R182" s="738"/>
      <c r="S182" s="697"/>
    </row>
    <row r="183" spans="1:19" hidden="1">
      <c r="A183" s="957"/>
      <c r="B183" s="925" t="s">
        <v>159</v>
      </c>
      <c r="C183" s="922"/>
      <c r="D183" s="923">
        <f>'[2]总投资-发采购-0411-GLP拆分场外费用(司调)'!G55</f>
        <v>53</v>
      </c>
      <c r="E183" s="928">
        <f t="shared" ref="E183:E210" si="6">D183/$A$3</f>
        <v>7.4542897327707447</v>
      </c>
      <c r="F183" s="920">
        <v>1</v>
      </c>
      <c r="G183" s="606"/>
      <c r="H183" s="606"/>
      <c r="I183" s="606"/>
      <c r="J183" s="697" t="s">
        <v>224</v>
      </c>
      <c r="K183" s="606"/>
      <c r="L183" s="606"/>
      <c r="M183" s="606"/>
      <c r="N183" s="606"/>
      <c r="O183" s="738"/>
      <c r="P183" s="738"/>
      <c r="Q183" s="738"/>
      <c r="R183" s="738"/>
      <c r="S183" s="697"/>
    </row>
    <row r="184" spans="1:19" hidden="1">
      <c r="A184" s="957">
        <v>2.6</v>
      </c>
      <c r="B184" s="925" t="s">
        <v>315</v>
      </c>
      <c r="C184" s="922"/>
      <c r="D184" s="923">
        <f>'[2]总投资-发采购-0411-GLP拆分场外费用(司调)'!G56</f>
        <v>5747.9617310399199</v>
      </c>
      <c r="E184" s="928">
        <f t="shared" si="6"/>
        <v>808.43343615188746</v>
      </c>
      <c r="F184" s="920">
        <v>1</v>
      </c>
      <c r="G184" s="606"/>
      <c r="H184" s="606"/>
      <c r="I184" s="606"/>
      <c r="J184" s="697" t="s">
        <v>224</v>
      </c>
      <c r="K184" s="606"/>
      <c r="L184" s="606"/>
      <c r="M184" s="606"/>
      <c r="N184" s="606"/>
      <c r="O184" s="738"/>
      <c r="P184" s="738"/>
      <c r="Q184" s="738"/>
      <c r="R184" s="738"/>
      <c r="S184" s="697"/>
    </row>
    <row r="185" spans="1:19" hidden="1">
      <c r="A185" s="957" t="s">
        <v>316</v>
      </c>
      <c r="B185" s="925" t="s">
        <v>141</v>
      </c>
      <c r="C185" s="922"/>
      <c r="D185" s="923">
        <f>'[2]总投资-发采购-0411-GLP拆分场外费用(司调)'!G57</f>
        <v>3574</v>
      </c>
      <c r="E185" s="928">
        <f t="shared" si="6"/>
        <v>502.67229254571026</v>
      </c>
      <c r="F185" s="920">
        <v>1</v>
      </c>
      <c r="G185" s="606"/>
      <c r="H185" s="606"/>
      <c r="I185" s="606"/>
      <c r="J185" s="697" t="s">
        <v>224</v>
      </c>
      <c r="K185" s="606"/>
      <c r="L185" s="606"/>
      <c r="M185" s="606"/>
      <c r="N185" s="606"/>
      <c r="O185" s="738"/>
      <c r="P185" s="738"/>
      <c r="Q185" s="738"/>
      <c r="R185" s="738"/>
      <c r="S185" s="697"/>
    </row>
    <row r="186" spans="1:19" hidden="1">
      <c r="A186" s="957" t="s">
        <v>317</v>
      </c>
      <c r="B186" s="925" t="s">
        <v>143</v>
      </c>
      <c r="C186" s="922"/>
      <c r="D186" s="923">
        <f>'[2]总投资-发采购-0411-GLP拆分场外费用(司调)'!G58</f>
        <v>18.29888</v>
      </c>
      <c r="E186" s="928">
        <f t="shared" si="6"/>
        <v>2.5736821378340364</v>
      </c>
      <c r="F186" s="920">
        <v>1</v>
      </c>
      <c r="G186" s="606"/>
      <c r="H186" s="606"/>
      <c r="I186" s="606"/>
      <c r="J186" s="697" t="s">
        <v>224</v>
      </c>
      <c r="K186" s="606"/>
      <c r="L186" s="606"/>
      <c r="M186" s="606"/>
      <c r="N186" s="606"/>
      <c r="O186" s="738"/>
      <c r="P186" s="738"/>
      <c r="Q186" s="738"/>
      <c r="R186" s="738"/>
      <c r="S186" s="697"/>
    </row>
    <row r="187" spans="1:19" hidden="1">
      <c r="A187" s="957" t="s">
        <v>318</v>
      </c>
      <c r="B187" s="925" t="s">
        <v>145</v>
      </c>
      <c r="C187" s="922"/>
      <c r="D187" s="923">
        <f>'[2]总投资-发采购-0411-GLP拆分场外费用(司调)'!G59</f>
        <v>164.68992</v>
      </c>
      <c r="E187" s="928">
        <f t="shared" si="6"/>
        <v>23.163139240506329</v>
      </c>
      <c r="F187" s="920">
        <v>1</v>
      </c>
      <c r="G187" s="606"/>
      <c r="H187" s="606"/>
      <c r="I187" s="606"/>
      <c r="J187" s="697" t="s">
        <v>224</v>
      </c>
      <c r="K187" s="606"/>
      <c r="L187" s="606"/>
      <c r="M187" s="606"/>
      <c r="N187" s="606"/>
      <c r="O187" s="738"/>
      <c r="P187" s="738"/>
      <c r="Q187" s="738"/>
      <c r="R187" s="738"/>
      <c r="S187" s="697"/>
    </row>
    <row r="188" spans="1:19" hidden="1">
      <c r="A188" s="957" t="s">
        <v>319</v>
      </c>
      <c r="B188" s="925" t="s">
        <v>147</v>
      </c>
      <c r="C188" s="922"/>
      <c r="D188" s="923">
        <f>'[2]总投资-发采购-0411-GLP拆分场外费用(司调)'!G60</f>
        <v>128.09216000000001</v>
      </c>
      <c r="E188" s="928">
        <f t="shared" si="6"/>
        <v>18.015774964838258</v>
      </c>
      <c r="F188" s="920">
        <v>1</v>
      </c>
      <c r="G188" s="606"/>
      <c r="H188" s="606"/>
      <c r="I188" s="606"/>
      <c r="J188" s="697" t="s">
        <v>224</v>
      </c>
      <c r="K188" s="606"/>
      <c r="L188" s="606"/>
      <c r="M188" s="606"/>
      <c r="N188" s="606"/>
      <c r="O188" s="738"/>
      <c r="P188" s="738"/>
      <c r="Q188" s="738"/>
      <c r="R188" s="738"/>
      <c r="S188" s="697"/>
    </row>
    <row r="189" spans="1:19" hidden="1">
      <c r="A189" s="957" t="s">
        <v>320</v>
      </c>
      <c r="B189" s="925" t="s">
        <v>149</v>
      </c>
      <c r="C189" s="922"/>
      <c r="D189" s="923">
        <f>'[2]总投资-发采购-0411-GLP拆分场外费用(司调)'!G61</f>
        <v>283.63263999999998</v>
      </c>
      <c r="E189" s="928">
        <f t="shared" si="6"/>
        <v>39.892073136427562</v>
      </c>
      <c r="F189" s="920">
        <v>1</v>
      </c>
      <c r="G189" s="606"/>
      <c r="H189" s="606"/>
      <c r="I189" s="606"/>
      <c r="J189" s="697" t="s">
        <v>224</v>
      </c>
      <c r="K189" s="606"/>
      <c r="L189" s="606"/>
      <c r="M189" s="606"/>
      <c r="N189" s="606"/>
      <c r="O189" s="738"/>
      <c r="P189" s="738"/>
      <c r="Q189" s="738"/>
      <c r="R189" s="738"/>
      <c r="S189" s="697"/>
    </row>
    <row r="190" spans="1:19" hidden="1">
      <c r="A190" s="957" t="s">
        <v>321</v>
      </c>
      <c r="B190" s="925" t="s">
        <v>151</v>
      </c>
      <c r="C190" s="922"/>
      <c r="D190" s="923">
        <f>'[2]总投资-发采购-0411-GLP拆分场外费用(司调)'!G62</f>
        <v>78.158937277231303</v>
      </c>
      <c r="E190" s="928">
        <f t="shared" si="6"/>
        <v>10.992818182451659</v>
      </c>
      <c r="F190" s="920">
        <v>1</v>
      </c>
      <c r="G190" s="606"/>
      <c r="H190" s="606"/>
      <c r="I190" s="606"/>
      <c r="J190" s="697" t="s">
        <v>224</v>
      </c>
      <c r="K190" s="606"/>
      <c r="L190" s="606"/>
      <c r="M190" s="606"/>
      <c r="N190" s="606"/>
      <c r="O190" s="738"/>
      <c r="P190" s="738"/>
      <c r="Q190" s="738"/>
      <c r="R190" s="738"/>
      <c r="S190" s="697"/>
    </row>
    <row r="191" spans="1:19" hidden="1">
      <c r="A191" s="957" t="s">
        <v>322</v>
      </c>
      <c r="B191" s="925" t="s">
        <v>153</v>
      </c>
      <c r="C191" s="922"/>
      <c r="D191" s="923">
        <f>'[2]总投资-发采购-0411-GLP拆分场外费用(司调)'!G63</f>
        <v>571.84</v>
      </c>
      <c r="E191" s="928">
        <f t="shared" si="6"/>
        <v>80.427566807313639</v>
      </c>
      <c r="F191" s="920">
        <v>1</v>
      </c>
      <c r="G191" s="606"/>
      <c r="H191" s="606"/>
      <c r="I191" s="606"/>
      <c r="J191" s="697" t="s">
        <v>224</v>
      </c>
      <c r="K191" s="606"/>
      <c r="L191" s="606"/>
      <c r="M191" s="606"/>
      <c r="N191" s="606"/>
      <c r="O191" s="738"/>
      <c r="P191" s="738"/>
      <c r="Q191" s="738"/>
      <c r="R191" s="738"/>
      <c r="S191" s="697"/>
    </row>
    <row r="192" spans="1:19" hidden="1">
      <c r="A192" s="957"/>
      <c r="B192" s="959" t="s">
        <v>205</v>
      </c>
      <c r="C192" s="922"/>
      <c r="D192" s="923">
        <f>'[2]总投资-发采购-0411-GLP拆分场外费用(司调)'!G64</f>
        <v>864.24919376268497</v>
      </c>
      <c r="E192" s="928">
        <f t="shared" si="6"/>
        <v>121.55403569095428</v>
      </c>
      <c r="F192" s="920">
        <v>1</v>
      </c>
      <c r="G192" s="606"/>
      <c r="H192" s="606"/>
      <c r="I192" s="606"/>
      <c r="J192" s="697" t="s">
        <v>224</v>
      </c>
      <c r="K192" s="606"/>
      <c r="L192" s="606"/>
      <c r="M192" s="606"/>
      <c r="N192" s="606"/>
      <c r="O192" s="738"/>
      <c r="P192" s="738"/>
      <c r="Q192" s="738"/>
      <c r="R192" s="738"/>
      <c r="S192" s="697"/>
    </row>
    <row r="193" spans="1:19" hidden="1">
      <c r="A193" s="957" t="s">
        <v>323</v>
      </c>
      <c r="B193" s="925" t="s">
        <v>156</v>
      </c>
      <c r="C193" s="922"/>
      <c r="D193" s="923">
        <f>'[2]总投资-发采购-0411-GLP拆分场外费用(司调)'!G65</f>
        <v>65</v>
      </c>
      <c r="E193" s="928">
        <f t="shared" si="6"/>
        <v>9.1420534458509142</v>
      </c>
      <c r="F193" s="920">
        <v>1</v>
      </c>
      <c r="G193" s="606"/>
      <c r="H193" s="606"/>
      <c r="I193" s="606"/>
      <c r="J193" s="697" t="s">
        <v>224</v>
      </c>
      <c r="K193" s="606"/>
      <c r="L193" s="606"/>
      <c r="M193" s="606"/>
      <c r="N193" s="606"/>
      <c r="O193" s="738"/>
      <c r="P193" s="738"/>
      <c r="Q193" s="738"/>
      <c r="R193" s="738"/>
      <c r="S193" s="697"/>
    </row>
    <row r="194" spans="1:19" hidden="1">
      <c r="A194" s="957"/>
      <c r="B194" s="925" t="s">
        <v>157</v>
      </c>
      <c r="C194" s="922"/>
      <c r="D194" s="923">
        <f>'[2]总投资-发采购-0411-GLP拆分场外费用(司调)'!G66</f>
        <v>1</v>
      </c>
      <c r="E194" s="928">
        <f t="shared" si="6"/>
        <v>0.14064697609001406</v>
      </c>
      <c r="F194" s="920">
        <v>1</v>
      </c>
      <c r="G194" s="606"/>
      <c r="H194" s="606"/>
      <c r="I194" s="606"/>
      <c r="J194" s="697" t="s">
        <v>224</v>
      </c>
      <c r="K194" s="606"/>
      <c r="L194" s="606"/>
      <c r="M194" s="606"/>
      <c r="N194" s="606"/>
      <c r="O194" s="738"/>
      <c r="P194" s="738"/>
      <c r="Q194" s="738"/>
      <c r="R194" s="738"/>
      <c r="S194" s="697"/>
    </row>
    <row r="195" spans="1:19" hidden="1">
      <c r="A195" s="957"/>
      <c r="B195" s="925" t="s">
        <v>158</v>
      </c>
      <c r="C195" s="922"/>
      <c r="D195" s="923">
        <f>'[2]总投资-发采购-0411-GLP拆分场外费用(司调)'!G67</f>
        <v>11</v>
      </c>
      <c r="E195" s="928">
        <f t="shared" si="6"/>
        <v>1.5471167369901546</v>
      </c>
      <c r="F195" s="920">
        <v>1</v>
      </c>
      <c r="G195" s="606"/>
      <c r="H195" s="606"/>
      <c r="I195" s="606"/>
      <c r="J195" s="697" t="s">
        <v>224</v>
      </c>
      <c r="K195" s="606"/>
      <c r="L195" s="606"/>
      <c r="M195" s="606"/>
      <c r="N195" s="606"/>
      <c r="O195" s="738"/>
      <c r="P195" s="738"/>
      <c r="Q195" s="738"/>
      <c r="R195" s="738"/>
      <c r="S195" s="697"/>
    </row>
    <row r="196" spans="1:19" hidden="1">
      <c r="A196" s="957"/>
      <c r="B196" s="925" t="s">
        <v>159</v>
      </c>
      <c r="C196" s="922"/>
      <c r="D196" s="923">
        <f>'[2]总投资-发采购-0411-GLP拆分场外费用(司调)'!G68</f>
        <v>53</v>
      </c>
      <c r="E196" s="928">
        <f t="shared" si="6"/>
        <v>7.4542897327707447</v>
      </c>
      <c r="F196" s="920">
        <v>1</v>
      </c>
      <c r="G196" s="606"/>
      <c r="H196" s="606"/>
      <c r="I196" s="606"/>
      <c r="J196" s="697" t="s">
        <v>224</v>
      </c>
      <c r="K196" s="606"/>
      <c r="L196" s="606"/>
      <c r="M196" s="606"/>
      <c r="N196" s="606"/>
      <c r="O196" s="738"/>
      <c r="P196" s="738"/>
      <c r="Q196" s="738"/>
      <c r="R196" s="738"/>
      <c r="S196" s="697"/>
    </row>
    <row r="197" spans="1:19" hidden="1">
      <c r="A197" s="957">
        <v>2.7</v>
      </c>
      <c r="B197" s="925" t="s">
        <v>324</v>
      </c>
      <c r="C197" s="922"/>
      <c r="D197" s="923">
        <f>'[2]总投资-发采购-0411-GLP拆分场外费用(司调)'!G69</f>
        <v>5776.8425281711698</v>
      </c>
      <c r="E197" s="928">
        <f t="shared" si="6"/>
        <v>812.49543293546685</v>
      </c>
      <c r="F197" s="920">
        <v>1</v>
      </c>
      <c r="G197" s="606"/>
      <c r="H197" s="606"/>
      <c r="I197" s="606"/>
      <c r="J197" s="697" t="s">
        <v>224</v>
      </c>
      <c r="K197" s="606"/>
      <c r="L197" s="606"/>
      <c r="M197" s="606"/>
      <c r="N197" s="606"/>
      <c r="O197" s="738"/>
      <c r="P197" s="738"/>
      <c r="Q197" s="738"/>
      <c r="R197" s="738"/>
      <c r="S197" s="697"/>
    </row>
    <row r="198" spans="1:19" hidden="1">
      <c r="A198" s="957" t="s">
        <v>325</v>
      </c>
      <c r="B198" s="925" t="s">
        <v>141</v>
      </c>
      <c r="C198" s="922"/>
      <c r="D198" s="923">
        <f>'[2]总投资-发采购-0411-GLP拆分场外费用(司调)'!G70</f>
        <v>3574</v>
      </c>
      <c r="E198" s="928">
        <f t="shared" si="6"/>
        <v>502.67229254571026</v>
      </c>
      <c r="F198" s="920">
        <v>1</v>
      </c>
      <c r="G198" s="606"/>
      <c r="H198" s="606"/>
      <c r="I198" s="606"/>
      <c r="J198" s="697" t="s">
        <v>224</v>
      </c>
      <c r="K198" s="606"/>
      <c r="L198" s="606"/>
      <c r="M198" s="606"/>
      <c r="N198" s="606"/>
      <c r="O198" s="738"/>
      <c r="P198" s="738"/>
      <c r="Q198" s="738"/>
      <c r="R198" s="738"/>
      <c r="S198" s="697"/>
    </row>
    <row r="199" spans="1:19" hidden="1">
      <c r="A199" s="957" t="s">
        <v>326</v>
      </c>
      <c r="B199" s="925" t="s">
        <v>143</v>
      </c>
      <c r="C199" s="922"/>
      <c r="D199" s="923">
        <f>'[2]总投资-发采购-0411-GLP拆分场外费用(司调)'!G71</f>
        <v>18.29888</v>
      </c>
      <c r="E199" s="928">
        <f t="shared" si="6"/>
        <v>2.5736821378340364</v>
      </c>
      <c r="F199" s="920">
        <v>1</v>
      </c>
      <c r="G199" s="606"/>
      <c r="H199" s="606"/>
      <c r="I199" s="606"/>
      <c r="J199" s="697" t="s">
        <v>224</v>
      </c>
      <c r="K199" s="606"/>
      <c r="L199" s="606"/>
      <c r="M199" s="606"/>
      <c r="N199" s="606"/>
      <c r="O199" s="738"/>
      <c r="P199" s="738"/>
      <c r="Q199" s="738"/>
      <c r="R199" s="738"/>
      <c r="S199" s="697"/>
    </row>
    <row r="200" spans="1:19" hidden="1">
      <c r="A200" s="957" t="s">
        <v>327</v>
      </c>
      <c r="B200" s="925" t="s">
        <v>145</v>
      </c>
      <c r="C200" s="922"/>
      <c r="D200" s="923">
        <f>'[2]总投资-发采购-0411-GLP拆分场外费用(司调)'!G72</f>
        <v>164.68992</v>
      </c>
      <c r="E200" s="928">
        <f t="shared" si="6"/>
        <v>23.163139240506329</v>
      </c>
      <c r="F200" s="920">
        <v>1</v>
      </c>
      <c r="G200" s="606"/>
      <c r="H200" s="606"/>
      <c r="I200" s="606"/>
      <c r="J200" s="697" t="s">
        <v>224</v>
      </c>
      <c r="K200" s="606"/>
      <c r="L200" s="606"/>
      <c r="M200" s="606"/>
      <c r="N200" s="606"/>
      <c r="O200" s="738"/>
      <c r="P200" s="738"/>
      <c r="Q200" s="738"/>
      <c r="R200" s="738"/>
      <c r="S200" s="697"/>
    </row>
    <row r="201" spans="1:19" hidden="1">
      <c r="A201" s="957" t="s">
        <v>328</v>
      </c>
      <c r="B201" s="925" t="s">
        <v>147</v>
      </c>
      <c r="C201" s="922"/>
      <c r="D201" s="923">
        <f>'[2]总投资-发采购-0411-GLP拆分场外费用(司调)'!G73</f>
        <v>128.09216000000001</v>
      </c>
      <c r="E201" s="928">
        <f t="shared" si="6"/>
        <v>18.015774964838258</v>
      </c>
      <c r="F201" s="920">
        <v>1</v>
      </c>
      <c r="G201" s="606"/>
      <c r="H201" s="606"/>
      <c r="I201" s="606"/>
      <c r="J201" s="697" t="s">
        <v>224</v>
      </c>
      <c r="K201" s="606"/>
      <c r="L201" s="606"/>
      <c r="M201" s="606"/>
      <c r="N201" s="606"/>
      <c r="O201" s="738"/>
      <c r="P201" s="738"/>
      <c r="Q201" s="738"/>
      <c r="R201" s="738"/>
      <c r="S201" s="697"/>
    </row>
    <row r="202" spans="1:19" hidden="1">
      <c r="A202" s="957" t="s">
        <v>329</v>
      </c>
      <c r="B202" s="925" t="s">
        <v>149</v>
      </c>
      <c r="C202" s="922"/>
      <c r="D202" s="923">
        <f>'[2]总投资-发采购-0411-GLP拆分场外费用(司调)'!G74</f>
        <v>283.63263999999998</v>
      </c>
      <c r="E202" s="928">
        <f t="shared" si="6"/>
        <v>39.892073136427562</v>
      </c>
      <c r="F202" s="920">
        <v>1</v>
      </c>
      <c r="G202" s="606"/>
      <c r="H202" s="606"/>
      <c r="I202" s="606"/>
      <c r="J202" s="697" t="s">
        <v>224</v>
      </c>
      <c r="K202" s="606"/>
      <c r="L202" s="606"/>
      <c r="M202" s="606"/>
      <c r="N202" s="606"/>
      <c r="O202" s="738"/>
      <c r="P202" s="738"/>
      <c r="Q202" s="738"/>
      <c r="R202" s="738"/>
      <c r="S202" s="697"/>
    </row>
    <row r="203" spans="1:19" hidden="1">
      <c r="A203" s="957" t="s">
        <v>330</v>
      </c>
      <c r="B203" s="925" t="s">
        <v>151</v>
      </c>
      <c r="C203" s="922"/>
      <c r="D203" s="923">
        <f>'[2]总投资-发采购-0411-GLP拆分场外费用(司调)'!G75</f>
        <v>78.158937277231303</v>
      </c>
      <c r="E203" s="928">
        <f t="shared" si="6"/>
        <v>10.992818182451659</v>
      </c>
      <c r="F203" s="920">
        <v>1</v>
      </c>
      <c r="G203" s="606"/>
      <c r="H203" s="606"/>
      <c r="I203" s="606"/>
      <c r="J203" s="697" t="s">
        <v>224</v>
      </c>
      <c r="K203" s="606"/>
      <c r="L203" s="606"/>
      <c r="M203" s="606"/>
      <c r="N203" s="606"/>
      <c r="O203" s="738"/>
      <c r="P203" s="738"/>
      <c r="Q203" s="738"/>
      <c r="R203" s="738"/>
      <c r="S203" s="697"/>
    </row>
    <row r="204" spans="1:19" hidden="1">
      <c r="A204" s="957" t="s">
        <v>331</v>
      </c>
      <c r="B204" s="925" t="s">
        <v>153</v>
      </c>
      <c r="C204" s="922"/>
      <c r="D204" s="923">
        <f>'[2]总投资-发采购-0411-GLP拆分场外费用(司调)'!G76</f>
        <v>571.84</v>
      </c>
      <c r="E204" s="928">
        <f t="shared" si="6"/>
        <v>80.427566807313639</v>
      </c>
      <c r="F204" s="920">
        <v>1</v>
      </c>
      <c r="G204" s="606"/>
      <c r="H204" s="606"/>
      <c r="I204" s="606"/>
      <c r="J204" s="697" t="s">
        <v>224</v>
      </c>
      <c r="K204" s="606"/>
      <c r="L204" s="606"/>
      <c r="M204" s="606"/>
      <c r="N204" s="606"/>
      <c r="O204" s="738"/>
      <c r="P204" s="738"/>
      <c r="Q204" s="738"/>
      <c r="R204" s="738"/>
      <c r="S204" s="697"/>
    </row>
    <row r="205" spans="1:19" hidden="1">
      <c r="A205" s="957"/>
      <c r="B205" s="959" t="s">
        <v>205</v>
      </c>
      <c r="C205" s="922"/>
      <c r="D205" s="923">
        <f>'[2]总投资-发采购-0411-GLP拆分场外费用(司调)'!G77</f>
        <v>893.12999089393804</v>
      </c>
      <c r="E205" s="928">
        <f t="shared" si="6"/>
        <v>125.61603247453418</v>
      </c>
      <c r="F205" s="920">
        <v>1</v>
      </c>
      <c r="G205" s="606"/>
      <c r="H205" s="606"/>
      <c r="I205" s="606"/>
      <c r="J205" s="697" t="s">
        <v>224</v>
      </c>
      <c r="K205" s="606"/>
      <c r="L205" s="606"/>
      <c r="M205" s="606"/>
      <c r="N205" s="606"/>
      <c r="O205" s="738"/>
      <c r="P205" s="738"/>
      <c r="Q205" s="738"/>
      <c r="R205" s="738"/>
      <c r="S205" s="697"/>
    </row>
    <row r="206" spans="1:19" hidden="1">
      <c r="A206" s="957" t="s">
        <v>332</v>
      </c>
      <c r="B206" s="925" t="s">
        <v>156</v>
      </c>
      <c r="C206" s="922"/>
      <c r="D206" s="923">
        <f>'[2]总投资-发采购-0411-GLP拆分场外费用(司调)'!G78</f>
        <v>65</v>
      </c>
      <c r="E206" s="928">
        <f t="shared" si="6"/>
        <v>9.1420534458509142</v>
      </c>
      <c r="F206" s="920">
        <v>1</v>
      </c>
      <c r="G206" s="606"/>
      <c r="H206" s="606"/>
      <c r="I206" s="606"/>
      <c r="J206" s="697" t="s">
        <v>224</v>
      </c>
      <c r="K206" s="606"/>
      <c r="L206" s="606"/>
      <c r="M206" s="606"/>
      <c r="N206" s="606"/>
      <c r="O206" s="738"/>
      <c r="P206" s="738"/>
      <c r="Q206" s="738"/>
      <c r="R206" s="738"/>
      <c r="S206" s="697"/>
    </row>
    <row r="207" spans="1:19" hidden="1">
      <c r="A207" s="957"/>
      <c r="B207" s="925" t="s">
        <v>157</v>
      </c>
      <c r="C207" s="922"/>
      <c r="D207" s="923">
        <f>'[2]总投资-发采购-0411-GLP拆分场外费用(司调)'!G79</f>
        <v>1</v>
      </c>
      <c r="E207" s="928">
        <f t="shared" si="6"/>
        <v>0.14064697609001406</v>
      </c>
      <c r="F207" s="920">
        <v>1</v>
      </c>
      <c r="G207" s="606"/>
      <c r="H207" s="606"/>
      <c r="I207" s="606"/>
      <c r="J207" s="697" t="s">
        <v>224</v>
      </c>
      <c r="K207" s="606"/>
      <c r="L207" s="606"/>
      <c r="M207" s="606"/>
      <c r="N207" s="606"/>
      <c r="O207" s="738"/>
      <c r="P207" s="738"/>
      <c r="Q207" s="738"/>
      <c r="R207" s="738"/>
      <c r="S207" s="697"/>
    </row>
    <row r="208" spans="1:19" hidden="1">
      <c r="A208" s="957"/>
      <c r="B208" s="925" t="s">
        <v>158</v>
      </c>
      <c r="C208" s="922"/>
      <c r="D208" s="923">
        <f>'[2]总投资-发采购-0411-GLP拆分场外费用(司调)'!G80</f>
        <v>11</v>
      </c>
      <c r="E208" s="928">
        <f t="shared" si="6"/>
        <v>1.5471167369901546</v>
      </c>
      <c r="F208" s="920">
        <v>1</v>
      </c>
      <c r="G208" s="606"/>
      <c r="H208" s="606"/>
      <c r="I208" s="606"/>
      <c r="J208" s="697" t="s">
        <v>224</v>
      </c>
      <c r="K208" s="606"/>
      <c r="L208" s="606"/>
      <c r="M208" s="606"/>
      <c r="N208" s="606"/>
      <c r="O208" s="738"/>
      <c r="P208" s="738"/>
      <c r="Q208" s="738"/>
      <c r="R208" s="738"/>
      <c r="S208" s="697"/>
    </row>
    <row r="209" spans="1:19" hidden="1">
      <c r="A209" s="957"/>
      <c r="B209" s="925" t="s">
        <v>159</v>
      </c>
      <c r="C209" s="922"/>
      <c r="D209" s="923">
        <f>'[2]总投资-发采购-0411-GLP拆分场外费用(司调)'!G81</f>
        <v>53</v>
      </c>
      <c r="E209" s="928">
        <f t="shared" si="6"/>
        <v>7.4542897327707447</v>
      </c>
      <c r="F209" s="920">
        <v>1</v>
      </c>
      <c r="G209" s="606"/>
      <c r="H209" s="606"/>
      <c r="I209" s="606"/>
      <c r="J209" s="697" t="s">
        <v>224</v>
      </c>
      <c r="K209" s="606"/>
      <c r="L209" s="606"/>
      <c r="M209" s="606"/>
      <c r="N209" s="606"/>
      <c r="O209" s="738"/>
      <c r="P209" s="738"/>
      <c r="Q209" s="738"/>
      <c r="R209" s="738"/>
      <c r="S209" s="697"/>
    </row>
    <row r="210" spans="1:19" ht="14.55" customHeight="1">
      <c r="A210" s="606" t="s">
        <v>44</v>
      </c>
      <c r="B210" s="782" t="s">
        <v>333</v>
      </c>
      <c r="C210" s="709" t="s">
        <v>334</v>
      </c>
      <c r="D210" s="710">
        <f>SUM('[2]总投资-发采购-0411-GLP拆分场外费用(司调)'!G205,'[2]总投资-发采购-0411-GLP拆分场外费用(司调)'!G208,'[2]总投资-发采购-0411-GLP拆分场外费用(司调)'!G211,'[2]总投资-发采购-0411-GLP拆分场外费用(司调)'!G214,'[2]总投资-发采购-0411-GLP拆分场外费用(司调)'!G218)</f>
        <v>3292.1051520000001</v>
      </c>
      <c r="E210" s="711">
        <f t="shared" si="6"/>
        <v>463.02463459915612</v>
      </c>
      <c r="F210" s="920">
        <v>1</v>
      </c>
      <c r="G210" s="780" t="s">
        <v>335</v>
      </c>
      <c r="H210" s="606" t="s">
        <v>30</v>
      </c>
      <c r="I210" s="606">
        <v>12</v>
      </c>
      <c r="J210" s="781" t="s">
        <v>336</v>
      </c>
      <c r="K210" s="606"/>
      <c r="L210" s="780"/>
      <c r="M210" s="606"/>
      <c r="N210" s="606"/>
      <c r="O210" s="738" t="s">
        <v>337</v>
      </c>
      <c r="P210" s="738" t="s">
        <v>338</v>
      </c>
      <c r="Q210" s="738" t="s">
        <v>181</v>
      </c>
      <c r="R210" s="738" t="s">
        <v>339</v>
      </c>
      <c r="S210" s="697"/>
    </row>
    <row r="211" spans="1:19" hidden="1">
      <c r="A211" s="1075" t="s">
        <v>340</v>
      </c>
      <c r="B211" s="1076"/>
      <c r="C211" s="1077"/>
      <c r="D211" s="713">
        <f>SUM(D7,D30,D44,D74,D117,D157,D210)</f>
        <v>174384.82564401845</v>
      </c>
      <c r="E211" s="713">
        <f>SUM(E7)</f>
        <v>967.19455955304363</v>
      </c>
      <c r="F211" s="932">
        <v>1</v>
      </c>
      <c r="G211" s="606"/>
      <c r="H211" s="606"/>
      <c r="I211" s="606"/>
      <c r="J211" s="606"/>
      <c r="K211" s="606"/>
      <c r="L211" s="606"/>
      <c r="M211" s="606"/>
      <c r="N211" s="606"/>
      <c r="O211" s="738"/>
      <c r="P211" s="738"/>
      <c r="Q211" s="738"/>
      <c r="R211" s="738"/>
      <c r="S211" s="606"/>
    </row>
    <row r="212" spans="1:19">
      <c r="A212" s="783" t="s">
        <v>341</v>
      </c>
      <c r="B212" s="1078" t="s">
        <v>342</v>
      </c>
      <c r="C212" s="1079"/>
      <c r="D212" s="1079"/>
      <c r="E212" s="1079"/>
      <c r="F212" s="1079"/>
      <c r="G212" s="1079"/>
      <c r="H212" s="1079"/>
      <c r="I212" s="1079"/>
      <c r="J212" s="1079"/>
      <c r="K212" s="1079"/>
      <c r="L212" s="1079"/>
      <c r="M212" s="1079"/>
      <c r="N212" s="1079"/>
      <c r="O212" s="1079"/>
      <c r="P212" s="1079"/>
      <c r="Q212" s="1079"/>
      <c r="R212" s="1079"/>
      <c r="S212" s="1080"/>
    </row>
    <row r="213" spans="1:19" ht="17.55" customHeight="1">
      <c r="A213" s="606" t="s">
        <v>50</v>
      </c>
      <c r="B213" s="960" t="s">
        <v>342</v>
      </c>
      <c r="C213" s="933" t="s">
        <v>343</v>
      </c>
      <c r="D213" s="710">
        <f>SUM('[2]总投资-发采购-0411-GLP拆分场外费用(司调)'!G236,'[2]总投资-发采购-0411-GLP拆分场外费用(司调)'!G223)</f>
        <v>28051.084587734578</v>
      </c>
      <c r="E213" s="712">
        <f>D213/$A$3</f>
        <v>3945.3002233100669</v>
      </c>
      <c r="F213" s="920">
        <v>1</v>
      </c>
      <c r="G213" s="606" t="s">
        <v>133</v>
      </c>
      <c r="H213" s="606" t="s">
        <v>30</v>
      </c>
      <c r="I213" s="606">
        <v>18</v>
      </c>
      <c r="J213" s="781" t="s">
        <v>180</v>
      </c>
      <c r="K213" s="606" t="s">
        <v>135</v>
      </c>
      <c r="L213" s="606"/>
      <c r="M213" s="606"/>
      <c r="N213" s="606"/>
      <c r="O213" s="606">
        <v>2025.3</v>
      </c>
      <c r="P213" s="606">
        <v>2025.4</v>
      </c>
      <c r="Q213" s="738" t="s">
        <v>181</v>
      </c>
      <c r="R213" s="738" t="s">
        <v>137</v>
      </c>
      <c r="S213" s="709"/>
    </row>
    <row r="214" spans="1:19" hidden="1">
      <c r="A214" s="934">
        <v>3.2</v>
      </c>
      <c r="B214" s="934" t="s">
        <v>344</v>
      </c>
      <c r="C214" s="935"/>
      <c r="D214" s="936">
        <f>'[2]总投资-发采购-0411-GLP拆分场外费用(司调)'!G236</f>
        <v>8098.2373475978802</v>
      </c>
      <c r="E214" s="937">
        <f>D214/$A$3</f>
        <v>1138.992594598858</v>
      </c>
      <c r="F214" s="932">
        <v>1</v>
      </c>
      <c r="G214" s="606"/>
      <c r="H214" s="606"/>
      <c r="I214" s="606"/>
      <c r="J214" s="697"/>
      <c r="K214" s="606"/>
      <c r="L214" s="606"/>
      <c r="M214" s="606"/>
      <c r="N214" s="606"/>
      <c r="O214" s="606"/>
      <c r="P214" s="606"/>
      <c r="Q214" s="738"/>
      <c r="R214" s="738"/>
      <c r="S214" s="709"/>
    </row>
    <row r="215" spans="1:19" hidden="1">
      <c r="A215" s="938" t="s">
        <v>345</v>
      </c>
      <c r="B215" s="938" t="s">
        <v>141</v>
      </c>
      <c r="C215" s="939"/>
      <c r="D215" s="923">
        <f>'[2]总投资-发采购-0411-GLP拆分场外费用(司调)'!G237</f>
        <v>4284.5</v>
      </c>
      <c r="E215" s="924">
        <f t="shared" ref="E215:E241" si="7">D215/$A$3</f>
        <v>602.6019690576652</v>
      </c>
      <c r="F215" s="924">
        <f t="shared" ref="F215:F241" si="8">E215</f>
        <v>602.6019690576652</v>
      </c>
      <c r="G215" s="606"/>
      <c r="H215" s="606"/>
      <c r="I215" s="606"/>
      <c r="J215" s="697"/>
      <c r="K215" s="606"/>
      <c r="L215" s="606"/>
      <c r="M215" s="606"/>
      <c r="N215" s="606"/>
      <c r="O215" s="606"/>
      <c r="P215" s="606"/>
      <c r="Q215" s="738"/>
      <c r="R215" s="738"/>
      <c r="S215" s="709"/>
    </row>
    <row r="216" spans="1:19" hidden="1">
      <c r="A216" s="938" t="s">
        <v>346</v>
      </c>
      <c r="B216" s="938" t="s">
        <v>143</v>
      </c>
      <c r="C216" s="939"/>
      <c r="D216" s="923">
        <f>'[2]总投资-发采购-0411-GLP拆分场外费用(司调)'!G238</f>
        <v>26.125</v>
      </c>
      <c r="E216" s="924">
        <f t="shared" si="7"/>
        <v>3.6744022503516174</v>
      </c>
      <c r="F216" s="924">
        <f t="shared" si="8"/>
        <v>3.6744022503516174</v>
      </c>
      <c r="G216" s="606"/>
      <c r="H216" s="606"/>
      <c r="I216" s="606"/>
      <c r="J216" s="697"/>
      <c r="K216" s="606"/>
      <c r="L216" s="606"/>
      <c r="M216" s="606"/>
      <c r="N216" s="606"/>
      <c r="O216" s="606"/>
      <c r="P216" s="606"/>
      <c r="Q216" s="738"/>
      <c r="R216" s="738"/>
      <c r="S216" s="709"/>
    </row>
    <row r="217" spans="1:19" hidden="1">
      <c r="A217" s="938" t="s">
        <v>347</v>
      </c>
      <c r="B217" s="938" t="s">
        <v>145</v>
      </c>
      <c r="C217" s="939"/>
      <c r="D217" s="923">
        <f>'[2]总投资-发采购-0411-GLP拆分场外费用(司调)'!G239</f>
        <v>151.52500000000001</v>
      </c>
      <c r="E217" s="924">
        <f t="shared" si="7"/>
        <v>21.31153305203938</v>
      </c>
      <c r="F217" s="924">
        <f t="shared" si="8"/>
        <v>21.31153305203938</v>
      </c>
      <c r="G217" s="606"/>
      <c r="H217" s="606"/>
      <c r="I217" s="606"/>
      <c r="J217" s="697"/>
      <c r="K217" s="606"/>
      <c r="L217" s="606"/>
      <c r="M217" s="606"/>
      <c r="N217" s="606"/>
      <c r="O217" s="606"/>
      <c r="P217" s="606"/>
      <c r="Q217" s="738"/>
      <c r="R217" s="738"/>
      <c r="S217" s="709"/>
    </row>
    <row r="218" spans="1:19" hidden="1">
      <c r="A218" s="938" t="s">
        <v>348</v>
      </c>
      <c r="B218" s="938" t="s">
        <v>147</v>
      </c>
      <c r="C218" s="939"/>
      <c r="D218" s="923">
        <f>'[2]总投资-发采购-0411-GLP拆分场外费用(司调)'!G240</f>
        <v>120.175</v>
      </c>
      <c r="E218" s="924">
        <f t="shared" si="7"/>
        <v>16.90225035161744</v>
      </c>
      <c r="F218" s="924">
        <f t="shared" si="8"/>
        <v>16.90225035161744</v>
      </c>
      <c r="G218" s="606"/>
      <c r="H218" s="606"/>
      <c r="I218" s="606"/>
      <c r="J218" s="697"/>
      <c r="K218" s="606"/>
      <c r="L218" s="606"/>
      <c r="M218" s="606"/>
      <c r="N218" s="606"/>
      <c r="O218" s="606"/>
      <c r="P218" s="606"/>
      <c r="Q218" s="738"/>
      <c r="R218" s="738"/>
      <c r="S218" s="709"/>
    </row>
    <row r="219" spans="1:19" hidden="1">
      <c r="A219" s="938" t="s">
        <v>349</v>
      </c>
      <c r="B219" s="938" t="s">
        <v>149</v>
      </c>
      <c r="C219" s="939"/>
      <c r="D219" s="923">
        <f>'[2]总投资-发采购-0411-GLP拆分场外费用(司调)'!G241</f>
        <v>146.30000000000001</v>
      </c>
      <c r="E219" s="924">
        <f t="shared" si="7"/>
        <v>20.576652601969059</v>
      </c>
      <c r="F219" s="924">
        <f t="shared" si="8"/>
        <v>20.576652601969059</v>
      </c>
      <c r="G219" s="606"/>
      <c r="H219" s="606"/>
      <c r="I219" s="606"/>
      <c r="J219" s="697"/>
      <c r="K219" s="606"/>
      <c r="L219" s="606"/>
      <c r="M219" s="606"/>
      <c r="N219" s="606"/>
      <c r="O219" s="606"/>
      <c r="P219" s="606"/>
      <c r="Q219" s="738"/>
      <c r="R219" s="738"/>
      <c r="S219" s="709"/>
    </row>
    <row r="220" spans="1:19" hidden="1">
      <c r="A220" s="938" t="s">
        <v>350</v>
      </c>
      <c r="B220" s="938" t="s">
        <v>151</v>
      </c>
      <c r="C220" s="939"/>
      <c r="D220" s="923">
        <f>'[2]总投资-发采购-0411-GLP拆分场外费用(司调)'!G242</f>
        <v>41.8</v>
      </c>
      <c r="E220" s="924">
        <f t="shared" si="7"/>
        <v>5.8790436005625875</v>
      </c>
      <c r="F220" s="924">
        <f t="shared" si="8"/>
        <v>5.8790436005625875</v>
      </c>
      <c r="G220" s="606"/>
      <c r="H220" s="606"/>
      <c r="I220" s="606"/>
      <c r="J220" s="697"/>
      <c r="K220" s="606"/>
      <c r="L220" s="606"/>
      <c r="M220" s="606"/>
      <c r="N220" s="606"/>
      <c r="O220" s="606"/>
      <c r="P220" s="606"/>
      <c r="Q220" s="738"/>
      <c r="R220" s="738"/>
      <c r="S220" s="709"/>
    </row>
    <row r="221" spans="1:19" hidden="1">
      <c r="A221" s="938" t="s">
        <v>351</v>
      </c>
      <c r="B221" s="938" t="s">
        <v>153</v>
      </c>
      <c r="C221" s="939"/>
      <c r="D221" s="923">
        <f>'[2]总投资-发采购-0411-GLP拆分场外费用(司调)'!G243</f>
        <v>209</v>
      </c>
      <c r="E221" s="924">
        <f t="shared" si="7"/>
        <v>29.395218002812939</v>
      </c>
      <c r="F221" s="924">
        <f t="shared" si="8"/>
        <v>29.395218002812939</v>
      </c>
      <c r="G221" s="606"/>
      <c r="H221" s="606"/>
      <c r="I221" s="606"/>
      <c r="J221" s="697"/>
      <c r="K221" s="606"/>
      <c r="L221" s="606"/>
      <c r="M221" s="606"/>
      <c r="N221" s="606"/>
      <c r="O221" s="606"/>
      <c r="P221" s="606"/>
      <c r="Q221" s="738"/>
      <c r="R221" s="738"/>
      <c r="S221" s="709"/>
    </row>
    <row r="222" spans="1:19" hidden="1">
      <c r="A222" s="938"/>
      <c r="B222" s="961" t="s">
        <v>205</v>
      </c>
      <c r="C222" s="939"/>
      <c r="D222" s="923">
        <f>'[2]总投资-发采购-0411-GLP拆分场外费用(司调)'!G244</f>
        <v>2754.81234759788</v>
      </c>
      <c r="E222" s="924">
        <f t="shared" si="7"/>
        <v>387.45602638507455</v>
      </c>
      <c r="F222" s="924">
        <f t="shared" si="8"/>
        <v>387.45602638507455</v>
      </c>
      <c r="G222" s="606"/>
      <c r="H222" s="606"/>
      <c r="I222" s="606"/>
      <c r="J222" s="697"/>
      <c r="K222" s="606"/>
      <c r="L222" s="606"/>
      <c r="M222" s="606"/>
      <c r="N222" s="606"/>
      <c r="O222" s="606"/>
      <c r="P222" s="606"/>
      <c r="Q222" s="738"/>
      <c r="R222" s="738"/>
      <c r="S222" s="709"/>
    </row>
    <row r="223" spans="1:19" hidden="1">
      <c r="A223" s="938" t="s">
        <v>352</v>
      </c>
      <c r="B223" s="938" t="s">
        <v>156</v>
      </c>
      <c r="C223" s="939"/>
      <c r="D223" s="923">
        <f>'[2]总投资-发采购-0411-GLP拆分场外费用(司调)'!G245</f>
        <v>364</v>
      </c>
      <c r="E223" s="924">
        <f t="shared" si="7"/>
        <v>51.195499296765121</v>
      </c>
      <c r="F223" s="924">
        <f t="shared" si="8"/>
        <v>51.195499296765121</v>
      </c>
      <c r="G223" s="606"/>
      <c r="H223" s="606"/>
      <c r="I223" s="606"/>
      <c r="J223" s="697"/>
      <c r="K223" s="606"/>
      <c r="L223" s="606"/>
      <c r="M223" s="606"/>
      <c r="N223" s="606"/>
      <c r="O223" s="606"/>
      <c r="P223" s="606"/>
      <c r="Q223" s="738"/>
      <c r="R223" s="738"/>
      <c r="S223" s="709"/>
    </row>
    <row r="224" spans="1:19" hidden="1">
      <c r="A224" s="938"/>
      <c r="B224" s="938" t="s">
        <v>353</v>
      </c>
      <c r="C224" s="939"/>
      <c r="D224" s="923">
        <f>'[2]总投资-发采购-0411-GLP拆分场外费用(司调)'!G246</f>
        <v>289</v>
      </c>
      <c r="E224" s="924">
        <f t="shared" si="7"/>
        <v>40.646976090014064</v>
      </c>
      <c r="F224" s="924">
        <f t="shared" si="8"/>
        <v>40.646976090014064</v>
      </c>
      <c r="G224" s="606"/>
      <c r="H224" s="606"/>
      <c r="I224" s="606"/>
      <c r="J224" s="697"/>
      <c r="K224" s="606"/>
      <c r="L224" s="606"/>
      <c r="M224" s="606"/>
      <c r="N224" s="606"/>
      <c r="O224" s="606"/>
      <c r="P224" s="606"/>
      <c r="Q224" s="738"/>
      <c r="R224" s="738"/>
      <c r="S224" s="709"/>
    </row>
    <row r="225" spans="1:19" hidden="1">
      <c r="A225" s="938"/>
      <c r="B225" s="938" t="s">
        <v>157</v>
      </c>
      <c r="C225" s="939"/>
      <c r="D225" s="923">
        <f>'[2]总投资-发采购-0411-GLP拆分场外费用(司调)'!G247</f>
        <v>4</v>
      </c>
      <c r="E225" s="924">
        <f t="shared" si="7"/>
        <v>0.56258790436005623</v>
      </c>
      <c r="F225" s="924">
        <f t="shared" si="8"/>
        <v>0.56258790436005623</v>
      </c>
      <c r="G225" s="606"/>
      <c r="H225" s="606"/>
      <c r="I225" s="606"/>
      <c r="J225" s="697"/>
      <c r="K225" s="606"/>
      <c r="L225" s="606"/>
      <c r="M225" s="606"/>
      <c r="N225" s="606"/>
      <c r="O225" s="606"/>
      <c r="P225" s="606"/>
      <c r="Q225" s="738"/>
      <c r="R225" s="738"/>
      <c r="S225" s="709"/>
    </row>
    <row r="226" spans="1:19" hidden="1">
      <c r="A226" s="938"/>
      <c r="B226" s="938" t="s">
        <v>158</v>
      </c>
      <c r="C226" s="939"/>
      <c r="D226" s="923">
        <f>'[2]总投资-发采购-0411-GLP拆分场外费用(司调)'!G248</f>
        <v>4</v>
      </c>
      <c r="E226" s="924">
        <f t="shared" si="7"/>
        <v>0.56258790436005623</v>
      </c>
      <c r="F226" s="924">
        <f t="shared" si="8"/>
        <v>0.56258790436005623</v>
      </c>
      <c r="G226" s="606"/>
      <c r="H226" s="606"/>
      <c r="I226" s="606"/>
      <c r="J226" s="697"/>
      <c r="K226" s="606"/>
      <c r="L226" s="606"/>
      <c r="M226" s="606"/>
      <c r="N226" s="606"/>
      <c r="O226" s="606"/>
      <c r="P226" s="606"/>
      <c r="Q226" s="738"/>
      <c r="R226" s="738"/>
      <c r="S226" s="709"/>
    </row>
    <row r="227" spans="1:19" hidden="1">
      <c r="A227" s="938"/>
      <c r="B227" s="938" t="s">
        <v>159</v>
      </c>
      <c r="C227" s="939"/>
      <c r="D227" s="923">
        <f>'[2]总投资-发采购-0411-GLP拆分场外费用(司调)'!G249</f>
        <v>32</v>
      </c>
      <c r="E227" s="924">
        <f t="shared" si="7"/>
        <v>4.5007032348804499</v>
      </c>
      <c r="F227" s="924">
        <f t="shared" si="8"/>
        <v>4.5007032348804499</v>
      </c>
      <c r="G227" s="606"/>
      <c r="H227" s="606"/>
      <c r="I227" s="606"/>
      <c r="J227" s="697"/>
      <c r="K227" s="606"/>
      <c r="L227" s="606"/>
      <c r="M227" s="606"/>
      <c r="N227" s="606"/>
      <c r="O227" s="606"/>
      <c r="P227" s="606"/>
      <c r="Q227" s="738"/>
      <c r="R227" s="738"/>
      <c r="S227" s="709"/>
    </row>
    <row r="228" spans="1:19" hidden="1">
      <c r="A228" s="938"/>
      <c r="B228" s="938" t="s">
        <v>354</v>
      </c>
      <c r="C228" s="939"/>
      <c r="D228" s="923">
        <f>'[2]总投资-发采购-0411-GLP拆分场外费用(司调)'!G250</f>
        <v>35</v>
      </c>
      <c r="E228" s="924">
        <f t="shared" si="7"/>
        <v>4.9226441631504922</v>
      </c>
      <c r="F228" s="924">
        <f t="shared" si="8"/>
        <v>4.9226441631504922</v>
      </c>
      <c r="G228" s="606"/>
      <c r="H228" s="606"/>
      <c r="I228" s="606"/>
      <c r="J228" s="697"/>
      <c r="K228" s="606"/>
      <c r="L228" s="606"/>
      <c r="M228" s="606"/>
      <c r="N228" s="606"/>
      <c r="O228" s="606"/>
      <c r="P228" s="606"/>
      <c r="Q228" s="738"/>
      <c r="R228" s="738"/>
      <c r="S228" s="709"/>
    </row>
    <row r="229" spans="1:19" hidden="1">
      <c r="A229" s="934">
        <v>3.1</v>
      </c>
      <c r="B229" s="934" t="s">
        <v>355</v>
      </c>
      <c r="C229" s="935"/>
      <c r="D229" s="936">
        <f>'[2]总投资-发采购-0411-GLP拆分场外费用(司调)'!G223</f>
        <v>19952.8472401367</v>
      </c>
      <c r="E229" s="937">
        <f t="shared" si="7"/>
        <v>2806.3076287112094</v>
      </c>
      <c r="F229" s="937">
        <f t="shared" si="8"/>
        <v>2806.3076287112094</v>
      </c>
      <c r="G229" s="606"/>
      <c r="H229" s="606"/>
      <c r="I229" s="606"/>
      <c r="J229" s="697"/>
      <c r="K229" s="606"/>
      <c r="L229" s="606"/>
      <c r="M229" s="606"/>
      <c r="N229" s="606"/>
      <c r="O229" s="606"/>
      <c r="P229" s="606"/>
      <c r="Q229" s="738"/>
      <c r="R229" s="738"/>
      <c r="S229" s="709"/>
    </row>
    <row r="230" spans="1:19" hidden="1">
      <c r="A230" s="938" t="s">
        <v>356</v>
      </c>
      <c r="B230" s="938" t="s">
        <v>141</v>
      </c>
      <c r="C230" s="939"/>
      <c r="D230" s="923">
        <f>'[2]总投资-发采购-0411-GLP拆分场外费用(司调)'!G224</f>
        <v>14787.06</v>
      </c>
      <c r="E230" s="924">
        <f t="shared" si="7"/>
        <v>2079.7552742616031</v>
      </c>
      <c r="F230" s="924">
        <f t="shared" si="8"/>
        <v>2079.7552742616031</v>
      </c>
      <c r="G230" s="606"/>
      <c r="H230" s="606"/>
      <c r="I230" s="606"/>
      <c r="J230" s="697"/>
      <c r="K230" s="606"/>
      <c r="L230" s="606"/>
      <c r="M230" s="606"/>
      <c r="N230" s="606"/>
      <c r="O230" s="606"/>
      <c r="P230" s="606"/>
      <c r="Q230" s="738"/>
      <c r="R230" s="738"/>
      <c r="S230" s="709"/>
    </row>
    <row r="231" spans="1:19" hidden="1">
      <c r="A231" s="938" t="s">
        <v>357</v>
      </c>
      <c r="B231" s="938" t="s">
        <v>143</v>
      </c>
      <c r="C231" s="939"/>
      <c r="D231" s="923">
        <f>'[2]总投资-发采购-0411-GLP拆分场外费用(司调)'!G225</f>
        <v>98.580399999999997</v>
      </c>
      <c r="E231" s="924">
        <f t="shared" si="7"/>
        <v>13.865035161744022</v>
      </c>
      <c r="F231" s="924">
        <f t="shared" si="8"/>
        <v>13.865035161744022</v>
      </c>
      <c r="G231" s="606"/>
      <c r="H231" s="606"/>
      <c r="I231" s="606"/>
      <c r="J231" s="697"/>
      <c r="K231" s="606"/>
      <c r="L231" s="606"/>
      <c r="M231" s="606"/>
      <c r="N231" s="606"/>
      <c r="O231" s="606"/>
      <c r="P231" s="606"/>
      <c r="Q231" s="738"/>
      <c r="R231" s="738"/>
      <c r="S231" s="709"/>
    </row>
    <row r="232" spans="1:19" hidden="1">
      <c r="A232" s="938" t="s">
        <v>358</v>
      </c>
      <c r="B232" s="938" t="s">
        <v>145</v>
      </c>
      <c r="C232" s="939"/>
      <c r="D232" s="923">
        <f>'[2]总投资-发采购-0411-GLP拆分场外费用(司调)'!G226</f>
        <v>571.76631999999995</v>
      </c>
      <c r="E232" s="924">
        <f t="shared" si="7"/>
        <v>80.417203938115321</v>
      </c>
      <c r="F232" s="924">
        <f t="shared" si="8"/>
        <v>80.417203938115321</v>
      </c>
      <c r="G232" s="606"/>
      <c r="H232" s="606"/>
      <c r="I232" s="606"/>
      <c r="J232" s="697"/>
      <c r="K232" s="606"/>
      <c r="L232" s="606"/>
      <c r="M232" s="606"/>
      <c r="N232" s="606"/>
      <c r="O232" s="606"/>
      <c r="P232" s="606"/>
      <c r="Q232" s="738"/>
      <c r="R232" s="738"/>
      <c r="S232" s="709"/>
    </row>
    <row r="233" spans="1:19" hidden="1">
      <c r="A233" s="938" t="s">
        <v>359</v>
      </c>
      <c r="B233" s="938" t="s">
        <v>147</v>
      </c>
      <c r="C233" s="939"/>
      <c r="D233" s="923">
        <f>'[2]总投资-发采购-0411-GLP拆分场外费用(司调)'!G227</f>
        <v>453.46983999999998</v>
      </c>
      <c r="E233" s="924">
        <f t="shared" si="7"/>
        <v>63.779161744022495</v>
      </c>
      <c r="F233" s="924">
        <f t="shared" si="8"/>
        <v>63.779161744022495</v>
      </c>
      <c r="G233" s="606"/>
      <c r="H233" s="606"/>
      <c r="I233" s="606"/>
      <c r="J233" s="697"/>
      <c r="K233" s="606"/>
      <c r="L233" s="606"/>
      <c r="M233" s="606"/>
      <c r="N233" s="606"/>
      <c r="O233" s="606"/>
      <c r="P233" s="606"/>
      <c r="Q233" s="738"/>
      <c r="R233" s="738"/>
      <c r="S233" s="709"/>
    </row>
    <row r="234" spans="1:19" hidden="1">
      <c r="A234" s="938" t="s">
        <v>360</v>
      </c>
      <c r="B234" s="938" t="s">
        <v>149</v>
      </c>
      <c r="C234" s="939"/>
      <c r="D234" s="923">
        <f>'[2]总投资-发采购-0411-GLP拆分场外费用(司调)'!G228</f>
        <v>552.05024000000003</v>
      </c>
      <c r="E234" s="924">
        <f t="shared" si="7"/>
        <v>77.64419690576652</v>
      </c>
      <c r="F234" s="924">
        <f t="shared" si="8"/>
        <v>77.64419690576652</v>
      </c>
      <c r="G234" s="606"/>
      <c r="H234" s="606"/>
      <c r="I234" s="606"/>
      <c r="J234" s="697"/>
      <c r="K234" s="606"/>
      <c r="L234" s="606"/>
      <c r="M234" s="606"/>
      <c r="N234" s="606"/>
      <c r="O234" s="606"/>
      <c r="P234" s="606"/>
      <c r="Q234" s="738"/>
      <c r="R234" s="947"/>
      <c r="S234" s="709"/>
    </row>
    <row r="235" spans="1:19" hidden="1">
      <c r="A235" s="938" t="s">
        <v>361</v>
      </c>
      <c r="B235" s="938" t="s">
        <v>151</v>
      </c>
      <c r="C235" s="939"/>
      <c r="D235" s="923">
        <f>'[2]总投资-发采购-0411-GLP拆分场外费用(司调)'!G229</f>
        <v>157.72864000000001</v>
      </c>
      <c r="E235" s="924">
        <f t="shared" si="7"/>
        <v>22.184056258790438</v>
      </c>
      <c r="F235" s="924">
        <f t="shared" si="8"/>
        <v>22.184056258790438</v>
      </c>
      <c r="G235" s="606"/>
      <c r="H235" s="606"/>
      <c r="I235" s="606"/>
      <c r="J235" s="697"/>
      <c r="K235" s="606"/>
      <c r="L235" s="606"/>
      <c r="M235" s="606"/>
      <c r="N235" s="606"/>
      <c r="O235" s="606"/>
      <c r="P235" s="606"/>
      <c r="Q235" s="738"/>
      <c r="R235" s="738"/>
      <c r="S235" s="709"/>
    </row>
    <row r="236" spans="1:19" hidden="1">
      <c r="A236" s="938" t="s">
        <v>362</v>
      </c>
      <c r="B236" s="938" t="s">
        <v>153</v>
      </c>
      <c r="C236" s="939"/>
      <c r="D236" s="923">
        <f>'[2]总投资-发采购-0411-GLP拆分场外费用(司调)'!G230</f>
        <v>788.64319999999998</v>
      </c>
      <c r="E236" s="924">
        <f t="shared" si="7"/>
        <v>110.92028129395217</v>
      </c>
      <c r="F236" s="924">
        <f t="shared" si="8"/>
        <v>110.92028129395217</v>
      </c>
      <c r="G236" s="606"/>
      <c r="H236" s="606"/>
      <c r="I236" s="606"/>
      <c r="J236" s="697"/>
      <c r="K236" s="606"/>
      <c r="L236" s="606"/>
      <c r="M236" s="606"/>
      <c r="N236" s="606"/>
      <c r="O236" s="606"/>
      <c r="P236" s="606"/>
      <c r="Q236" s="738"/>
      <c r="R236" s="738"/>
      <c r="S236" s="709"/>
    </row>
    <row r="237" spans="1:19" hidden="1">
      <c r="A237" s="938"/>
      <c r="B237" s="961" t="s">
        <v>205</v>
      </c>
      <c r="C237" s="939"/>
      <c r="D237" s="923">
        <f>'[2]总投资-发采购-0411-GLP拆分场外费用(司调)'!G231</f>
        <v>2458.5486001366498</v>
      </c>
      <c r="E237" s="924">
        <f t="shared" si="7"/>
        <v>345.78742617955692</v>
      </c>
      <c r="F237" s="924">
        <f t="shared" si="8"/>
        <v>345.78742617955692</v>
      </c>
      <c r="G237" s="606"/>
      <c r="H237" s="606"/>
      <c r="I237" s="606"/>
      <c r="J237" s="697"/>
      <c r="K237" s="606"/>
      <c r="L237" s="606"/>
      <c r="M237" s="606"/>
      <c r="N237" s="606"/>
      <c r="O237" s="606"/>
      <c r="P237" s="606"/>
      <c r="Q237" s="738"/>
      <c r="R237" s="738"/>
      <c r="S237" s="709"/>
    </row>
    <row r="238" spans="1:19" hidden="1">
      <c r="A238" s="938" t="s">
        <v>363</v>
      </c>
      <c r="B238" s="938" t="s">
        <v>156</v>
      </c>
      <c r="C238" s="939"/>
      <c r="D238" s="923">
        <f>'[2]总投资-发采购-0411-GLP拆分场外费用(司调)'!G232</f>
        <v>85</v>
      </c>
      <c r="E238" s="924">
        <f t="shared" si="7"/>
        <v>11.954992967651195</v>
      </c>
      <c r="F238" s="924">
        <f t="shared" si="8"/>
        <v>11.954992967651195</v>
      </c>
      <c r="G238" s="606"/>
      <c r="H238" s="606"/>
      <c r="I238" s="606"/>
      <c r="J238" s="697"/>
      <c r="K238" s="606"/>
      <c r="L238" s="606"/>
      <c r="M238" s="606"/>
      <c r="N238" s="606"/>
      <c r="O238" s="606"/>
      <c r="P238" s="606"/>
      <c r="Q238" s="738"/>
      <c r="R238" s="738"/>
      <c r="S238" s="709"/>
    </row>
    <row r="239" spans="1:19" hidden="1">
      <c r="A239" s="938"/>
      <c r="B239" s="938" t="s">
        <v>157</v>
      </c>
      <c r="C239" s="939"/>
      <c r="D239" s="923">
        <f>'[2]总投资-发采购-0411-GLP拆分场外费用(司调)'!G233</f>
        <v>4</v>
      </c>
      <c r="E239" s="924">
        <f t="shared" si="7"/>
        <v>0.56258790436005623</v>
      </c>
      <c r="F239" s="924">
        <f t="shared" si="8"/>
        <v>0.56258790436005623</v>
      </c>
      <c r="G239" s="606"/>
      <c r="H239" s="606"/>
      <c r="I239" s="606"/>
      <c r="J239" s="697"/>
      <c r="K239" s="606"/>
      <c r="L239" s="606"/>
      <c r="M239" s="606"/>
      <c r="N239" s="606"/>
      <c r="O239" s="606"/>
      <c r="P239" s="606"/>
      <c r="Q239" s="738"/>
      <c r="R239" s="738"/>
      <c r="S239" s="709"/>
    </row>
    <row r="240" spans="1:19" hidden="1">
      <c r="A240" s="938"/>
      <c r="B240" s="938" t="s">
        <v>158</v>
      </c>
      <c r="C240" s="939"/>
      <c r="D240" s="923">
        <f>'[2]总投资-发采购-0411-GLP拆分场外费用(司调)'!G234</f>
        <v>15</v>
      </c>
      <c r="E240" s="924">
        <f t="shared" si="7"/>
        <v>2.109704641350211</v>
      </c>
      <c r="F240" s="924">
        <f t="shared" si="8"/>
        <v>2.109704641350211</v>
      </c>
      <c r="G240" s="606"/>
      <c r="H240" s="606"/>
      <c r="I240" s="606"/>
      <c r="J240" s="697"/>
      <c r="K240" s="606"/>
      <c r="L240" s="606"/>
      <c r="M240" s="606"/>
      <c r="N240" s="606"/>
      <c r="O240" s="606"/>
      <c r="P240" s="606"/>
      <c r="Q240" s="738"/>
      <c r="R240" s="738"/>
      <c r="S240" s="709"/>
    </row>
    <row r="241" spans="1:19" hidden="1">
      <c r="A241" s="938"/>
      <c r="B241" s="938" t="s">
        <v>159</v>
      </c>
      <c r="C241" s="939"/>
      <c r="D241" s="923">
        <f>'[2]总投资-发采购-0411-GLP拆分场外费用(司调)'!G235</f>
        <v>66</v>
      </c>
      <c r="E241" s="924">
        <f t="shared" si="7"/>
        <v>9.2827004219409286</v>
      </c>
      <c r="F241" s="924">
        <f t="shared" si="8"/>
        <v>9.2827004219409286</v>
      </c>
      <c r="G241" s="606"/>
      <c r="H241" s="606"/>
      <c r="I241" s="606"/>
      <c r="J241" s="697"/>
      <c r="K241" s="606"/>
      <c r="L241" s="606"/>
      <c r="M241" s="606"/>
      <c r="N241" s="606"/>
      <c r="O241" s="606"/>
      <c r="P241" s="606"/>
      <c r="Q241" s="738"/>
      <c r="R241" s="738"/>
      <c r="S241" s="709"/>
    </row>
    <row r="242" spans="1:19" hidden="1">
      <c r="A242" s="1075" t="s">
        <v>340</v>
      </c>
      <c r="B242" s="1076"/>
      <c r="C242" s="1077"/>
      <c r="D242" s="713">
        <f>SUM(D213)</f>
        <v>28051.084587734578</v>
      </c>
      <c r="E242" s="713">
        <f t="shared" ref="E242" si="9">SUM(E213)</f>
        <v>3945.3002233100669</v>
      </c>
      <c r="F242" s="932">
        <v>1</v>
      </c>
      <c r="G242" s="606"/>
      <c r="H242" s="606"/>
      <c r="I242" s="606"/>
      <c r="J242" s="606"/>
      <c r="K242" s="606"/>
      <c r="L242" s="606"/>
      <c r="M242" s="606"/>
      <c r="N242" s="606"/>
      <c r="O242" s="606"/>
      <c r="P242" s="606"/>
      <c r="Q242" s="738"/>
      <c r="R242" s="606"/>
      <c r="S242" s="606"/>
    </row>
    <row r="243" spans="1:19">
      <c r="A243" s="786" t="s">
        <v>364</v>
      </c>
      <c r="B243" s="787" t="s">
        <v>365</v>
      </c>
      <c r="C243" s="723"/>
      <c r="D243" s="724"/>
      <c r="E243" s="725"/>
      <c r="F243" s="724"/>
      <c r="G243" s="726"/>
      <c r="H243" s="726"/>
      <c r="I243" s="726"/>
      <c r="J243" s="726"/>
      <c r="K243" s="726"/>
      <c r="L243" s="726"/>
      <c r="M243" s="726"/>
      <c r="N243" s="726"/>
      <c r="O243" s="726"/>
      <c r="P243" s="726"/>
      <c r="Q243" s="743"/>
      <c r="R243" s="744"/>
      <c r="S243" s="706"/>
    </row>
    <row r="244" spans="1:19" ht="32.549999999999997" customHeight="1">
      <c r="A244" s="788" t="s">
        <v>366</v>
      </c>
      <c r="B244" s="789" t="s">
        <v>367</v>
      </c>
      <c r="C244" s="790" t="s">
        <v>368</v>
      </c>
      <c r="D244" s="791">
        <f>SUM('[2]总投资-发采购-0411-GLP拆分场外费用(司调)'!G303,'[2]总投资-发采购-0411-GLP拆分场外费用(司调)'!G307,'[2]总投资-发采购-0411-GLP拆分场外费用(司调)'!G311,'[2]总投资-发采购-0411-GLP拆分场外费用(司调)'!G313,'[2]总投资-发采购-0411-GLP拆分场外费用(司调)'!G315,'[2]总投资-发采购-0411-GLP拆分场外费用(司调)'!G317)</f>
        <v>20312.849999999999</v>
      </c>
      <c r="E244" s="792">
        <f>D244/$A$3</f>
        <v>2856.9409282700417</v>
      </c>
      <c r="F244" s="962">
        <v>1</v>
      </c>
      <c r="G244" s="749" t="s">
        <v>133</v>
      </c>
      <c r="H244" s="749" t="s">
        <v>30</v>
      </c>
      <c r="I244" s="749">
        <v>12</v>
      </c>
      <c r="J244" s="754" t="s">
        <v>224</v>
      </c>
      <c r="K244" s="749" t="s">
        <v>135</v>
      </c>
      <c r="L244" s="797"/>
      <c r="M244" s="749"/>
      <c r="N244" s="749"/>
      <c r="O244" s="755" t="s">
        <v>369</v>
      </c>
      <c r="P244" s="755" t="s">
        <v>337</v>
      </c>
      <c r="Q244" s="755" t="s">
        <v>337</v>
      </c>
      <c r="R244" s="755" t="s">
        <v>293</v>
      </c>
      <c r="S244" s="754"/>
    </row>
    <row r="245" spans="1:19" hidden="1">
      <c r="A245" s="941">
        <v>6</v>
      </c>
      <c r="B245" s="942" t="s">
        <v>370</v>
      </c>
      <c r="C245" s="943"/>
      <c r="D245" s="944">
        <f>'[2]总投资-发采购-0411-GLP拆分场外费用(司调)'!G303</f>
        <v>2688.05</v>
      </c>
      <c r="E245" s="945">
        <f>D245/$A$3</f>
        <v>378.06610407876229</v>
      </c>
      <c r="F245" s="963">
        <f>D245/$A$3</f>
        <v>378.06610407876229</v>
      </c>
      <c r="G245" s="749"/>
      <c r="H245" s="749"/>
      <c r="I245" s="749"/>
      <c r="J245" s="754" t="s">
        <v>224</v>
      </c>
      <c r="K245" s="749"/>
      <c r="L245" s="749"/>
      <c r="M245" s="749"/>
      <c r="N245" s="749"/>
      <c r="O245" s="755"/>
      <c r="P245" s="755"/>
      <c r="Q245" s="755"/>
      <c r="R245" s="755"/>
      <c r="S245" s="754"/>
    </row>
    <row r="246" spans="1:19" hidden="1">
      <c r="A246" s="946" t="s">
        <v>371</v>
      </c>
      <c r="B246" s="942" t="s">
        <v>372</v>
      </c>
      <c r="C246" s="942"/>
      <c r="D246" s="944">
        <f>'[2]总投资-发采购-0411-GLP拆分场外费用(司调)'!G304</f>
        <v>399.45</v>
      </c>
      <c r="E246" s="945">
        <f t="shared" ref="E246:E264" si="10">D246/$A$3</f>
        <v>56.181434599156113</v>
      </c>
      <c r="F246" s="963">
        <f t="shared" ref="F246:F261" si="11">D246/$A$3</f>
        <v>56.181434599156113</v>
      </c>
      <c r="G246" s="749"/>
      <c r="H246" s="749"/>
      <c r="I246" s="749"/>
      <c r="J246" s="754" t="s">
        <v>224</v>
      </c>
      <c r="K246" s="749"/>
      <c r="L246" s="749"/>
      <c r="M246" s="749"/>
      <c r="N246" s="749"/>
      <c r="O246" s="755"/>
      <c r="P246" s="755"/>
      <c r="Q246" s="755"/>
      <c r="R246" s="755"/>
      <c r="S246" s="754"/>
    </row>
    <row r="247" spans="1:19" hidden="1">
      <c r="A247" s="946" t="s">
        <v>373</v>
      </c>
      <c r="B247" s="942" t="s">
        <v>374</v>
      </c>
      <c r="C247" s="942"/>
      <c r="D247" s="944">
        <f>'[2]总投资-发采购-0411-GLP拆分场外费用(司调)'!G305</f>
        <v>2145.6</v>
      </c>
      <c r="E247" s="945">
        <f t="shared" si="10"/>
        <v>301.77215189873414</v>
      </c>
      <c r="F247" s="963">
        <f t="shared" si="11"/>
        <v>301.77215189873414</v>
      </c>
      <c r="G247" s="749"/>
      <c r="H247" s="749"/>
      <c r="I247" s="749"/>
      <c r="J247" s="754" t="s">
        <v>224</v>
      </c>
      <c r="K247" s="749"/>
      <c r="L247" s="749"/>
      <c r="M247" s="749"/>
      <c r="N247" s="749"/>
      <c r="O247" s="755"/>
      <c r="P247" s="755"/>
      <c r="Q247" s="755"/>
      <c r="R247" s="755"/>
      <c r="S247" s="754"/>
    </row>
    <row r="248" spans="1:19" hidden="1">
      <c r="A248" s="946" t="s">
        <v>375</v>
      </c>
      <c r="B248" s="942" t="s">
        <v>376</v>
      </c>
      <c r="C248" s="942"/>
      <c r="D248" s="944">
        <f>'[2]总投资-发采购-0411-GLP拆分场外费用(司调)'!G306</f>
        <v>143</v>
      </c>
      <c r="E248" s="945">
        <f t="shared" si="10"/>
        <v>20.112517580872009</v>
      </c>
      <c r="F248" s="963">
        <f t="shared" si="11"/>
        <v>20.112517580872009</v>
      </c>
      <c r="G248" s="749"/>
      <c r="H248" s="749"/>
      <c r="I248" s="749"/>
      <c r="J248" s="754" t="s">
        <v>224</v>
      </c>
      <c r="K248" s="749"/>
      <c r="L248" s="749"/>
      <c r="M248" s="749"/>
      <c r="N248" s="749"/>
      <c r="O248" s="755"/>
      <c r="P248" s="755"/>
      <c r="Q248" s="755"/>
      <c r="R248" s="755"/>
      <c r="S248" s="754"/>
    </row>
    <row r="249" spans="1:19" hidden="1">
      <c r="A249" s="946" t="s">
        <v>377</v>
      </c>
      <c r="B249" s="942" t="s">
        <v>378</v>
      </c>
      <c r="C249" s="942"/>
      <c r="D249" s="944">
        <f>'[2]总投资-发采购-0411-GLP拆分场外费用(司调)'!G307</f>
        <v>6521.05</v>
      </c>
      <c r="E249" s="945">
        <f t="shared" si="10"/>
        <v>917.16596343178617</v>
      </c>
      <c r="F249" s="963">
        <f t="shared" si="11"/>
        <v>917.16596343178617</v>
      </c>
      <c r="G249" s="749"/>
      <c r="H249" s="749"/>
      <c r="I249" s="749"/>
      <c r="J249" s="754" t="s">
        <v>224</v>
      </c>
      <c r="K249" s="749"/>
      <c r="L249" s="749"/>
      <c r="M249" s="749"/>
      <c r="N249" s="749"/>
      <c r="O249" s="755"/>
      <c r="P249" s="755"/>
      <c r="Q249" s="755"/>
      <c r="R249" s="755"/>
      <c r="S249" s="754"/>
    </row>
    <row r="250" spans="1:19" hidden="1">
      <c r="A250" s="946">
        <v>6.2</v>
      </c>
      <c r="B250" s="942" t="s">
        <v>379</v>
      </c>
      <c r="C250" s="942"/>
      <c r="D250" s="944">
        <f>'[2]总投资-发采购-0411-GLP拆分场外费用(司调)'!G307</f>
        <v>6521.05</v>
      </c>
      <c r="E250" s="945">
        <f t="shared" si="10"/>
        <v>917.16596343178617</v>
      </c>
      <c r="F250" s="963">
        <f t="shared" si="11"/>
        <v>917.16596343178617</v>
      </c>
      <c r="G250" s="749"/>
      <c r="H250" s="749"/>
      <c r="I250" s="749"/>
      <c r="J250" s="754" t="s">
        <v>224</v>
      </c>
      <c r="K250" s="749"/>
      <c r="L250" s="749"/>
      <c r="M250" s="749"/>
      <c r="N250" s="749"/>
      <c r="O250" s="755"/>
      <c r="P250" s="755"/>
      <c r="Q250" s="755"/>
      <c r="R250" s="755"/>
      <c r="S250" s="754"/>
    </row>
    <row r="251" spans="1:19" hidden="1">
      <c r="A251" s="946" t="s">
        <v>380</v>
      </c>
      <c r="B251" s="942" t="s">
        <v>374</v>
      </c>
      <c r="C251" s="942"/>
      <c r="D251" s="944">
        <f>'[2]总投资-发采购-0411-GLP拆分场外费用(司调)'!G308</f>
        <v>356.25</v>
      </c>
      <c r="E251" s="945">
        <f t="shared" si="10"/>
        <v>50.105485232067508</v>
      </c>
      <c r="F251" s="963">
        <f t="shared" si="11"/>
        <v>50.105485232067508</v>
      </c>
      <c r="G251" s="749"/>
      <c r="H251" s="749"/>
      <c r="I251" s="749"/>
      <c r="J251" s="754" t="s">
        <v>224</v>
      </c>
      <c r="K251" s="749"/>
      <c r="L251" s="749"/>
      <c r="M251" s="749"/>
      <c r="N251" s="749"/>
      <c r="O251" s="755"/>
      <c r="P251" s="755"/>
      <c r="Q251" s="755"/>
      <c r="R251" s="755"/>
      <c r="S251" s="754"/>
    </row>
    <row r="252" spans="1:19" hidden="1">
      <c r="A252" s="946" t="s">
        <v>381</v>
      </c>
      <c r="B252" s="942" t="s">
        <v>376</v>
      </c>
      <c r="C252" s="942"/>
      <c r="D252" s="944">
        <f>'[2]总投资-发采购-0411-GLP拆分场外费用(司调)'!G309</f>
        <v>5956.8</v>
      </c>
      <c r="E252" s="945">
        <f t="shared" si="10"/>
        <v>837.80590717299572</v>
      </c>
      <c r="F252" s="963">
        <f t="shared" si="11"/>
        <v>837.80590717299572</v>
      </c>
      <c r="G252" s="749"/>
      <c r="H252" s="749"/>
      <c r="I252" s="749"/>
      <c r="J252" s="754" t="s">
        <v>224</v>
      </c>
      <c r="K252" s="749"/>
      <c r="L252" s="749"/>
      <c r="M252" s="749"/>
      <c r="N252" s="749"/>
      <c r="O252" s="755"/>
      <c r="P252" s="755"/>
      <c r="Q252" s="755"/>
      <c r="R252" s="755"/>
      <c r="S252" s="754"/>
    </row>
    <row r="253" spans="1:19" hidden="1">
      <c r="A253" s="946" t="s">
        <v>382</v>
      </c>
      <c r="B253" s="942" t="s">
        <v>378</v>
      </c>
      <c r="C253" s="942"/>
      <c r="D253" s="944">
        <f>'[2]总投资-发采购-0411-GLP拆分场外费用(司调)'!G310</f>
        <v>208</v>
      </c>
      <c r="E253" s="945">
        <f t="shared" si="10"/>
        <v>29.254571026722925</v>
      </c>
      <c r="F253" s="963">
        <f t="shared" si="11"/>
        <v>29.254571026722925</v>
      </c>
      <c r="G253" s="749"/>
      <c r="H253" s="749"/>
      <c r="I253" s="749"/>
      <c r="J253" s="754" t="s">
        <v>224</v>
      </c>
      <c r="K253" s="749"/>
      <c r="L253" s="749"/>
      <c r="M253" s="749"/>
      <c r="N253" s="749"/>
      <c r="O253" s="755"/>
      <c r="P253" s="755"/>
      <c r="Q253" s="755"/>
      <c r="R253" s="755"/>
      <c r="S253" s="754"/>
    </row>
    <row r="254" spans="1:19" hidden="1">
      <c r="A254" s="946" t="s">
        <v>383</v>
      </c>
      <c r="B254" s="942" t="s">
        <v>384</v>
      </c>
      <c r="C254" s="942"/>
      <c r="D254" s="944">
        <f>'[2]总投资-发采购-0411-GLP拆分场外费用(司调)'!G311</f>
        <v>1959.93</v>
      </c>
      <c r="E254" s="945">
        <f t="shared" si="10"/>
        <v>275.65822784810126</v>
      </c>
      <c r="F254" s="963">
        <f t="shared" si="11"/>
        <v>275.65822784810126</v>
      </c>
      <c r="G254" s="749"/>
      <c r="H254" s="749"/>
      <c r="I254" s="749"/>
      <c r="J254" s="754" t="s">
        <v>224</v>
      </c>
      <c r="K254" s="749"/>
      <c r="L254" s="749"/>
      <c r="M254" s="749"/>
      <c r="N254" s="749"/>
      <c r="O254" s="755"/>
      <c r="P254" s="755"/>
      <c r="Q254" s="755"/>
      <c r="R254" s="755"/>
      <c r="S254" s="754"/>
    </row>
    <row r="255" spans="1:19" hidden="1">
      <c r="A255" s="946" t="s">
        <v>385</v>
      </c>
      <c r="B255" s="942" t="s">
        <v>374</v>
      </c>
      <c r="C255" s="942"/>
      <c r="D255" s="944">
        <f>'[2]总投资-发采购-0411-GLP拆分场外费用(司调)'!G312</f>
        <v>1959.93</v>
      </c>
      <c r="E255" s="945">
        <f t="shared" si="10"/>
        <v>275.65822784810126</v>
      </c>
      <c r="F255" s="963">
        <f t="shared" si="11"/>
        <v>275.65822784810126</v>
      </c>
      <c r="G255" s="749"/>
      <c r="H255" s="749"/>
      <c r="I255" s="749"/>
      <c r="J255" s="754" t="s">
        <v>224</v>
      </c>
      <c r="K255" s="749"/>
      <c r="L255" s="749"/>
      <c r="M255" s="749"/>
      <c r="N255" s="749"/>
      <c r="O255" s="755"/>
      <c r="P255" s="755"/>
      <c r="Q255" s="755"/>
      <c r="R255" s="755"/>
      <c r="S255" s="754"/>
    </row>
    <row r="256" spans="1:19" hidden="1">
      <c r="A256" s="946">
        <v>6.4</v>
      </c>
      <c r="B256" s="942" t="s">
        <v>386</v>
      </c>
      <c r="C256" s="942"/>
      <c r="D256" s="944">
        <f>'[2]总投资-发采购-0411-GLP拆分场外费用(司调)'!G313</f>
        <v>3742.2</v>
      </c>
      <c r="E256" s="945">
        <f t="shared" si="10"/>
        <v>526.3291139240506</v>
      </c>
      <c r="F256" s="963">
        <f t="shared" si="11"/>
        <v>526.3291139240506</v>
      </c>
      <c r="G256" s="749"/>
      <c r="H256" s="749"/>
      <c r="I256" s="749"/>
      <c r="J256" s="754" t="s">
        <v>224</v>
      </c>
      <c r="K256" s="749"/>
      <c r="L256" s="749"/>
      <c r="M256" s="749"/>
      <c r="N256" s="749"/>
      <c r="O256" s="755"/>
      <c r="P256" s="755"/>
      <c r="Q256" s="755"/>
      <c r="R256" s="755"/>
      <c r="S256" s="754"/>
    </row>
    <row r="257" spans="1:19" hidden="1">
      <c r="A257" s="946" t="s">
        <v>387</v>
      </c>
      <c r="B257" s="942" t="s">
        <v>374</v>
      </c>
      <c r="C257" s="942"/>
      <c r="D257" s="944">
        <f>'[2]总投资-发采购-0411-GLP拆分场外费用(司调)'!G314</f>
        <v>3742.2</v>
      </c>
      <c r="E257" s="945">
        <f t="shared" si="10"/>
        <v>526.3291139240506</v>
      </c>
      <c r="F257" s="963">
        <f t="shared" si="11"/>
        <v>526.3291139240506</v>
      </c>
      <c r="G257" s="749"/>
      <c r="H257" s="749"/>
      <c r="I257" s="749"/>
      <c r="J257" s="754" t="s">
        <v>224</v>
      </c>
      <c r="K257" s="749"/>
      <c r="L257" s="749"/>
      <c r="M257" s="749"/>
      <c r="N257" s="749"/>
      <c r="O257" s="755"/>
      <c r="P257" s="755"/>
      <c r="Q257" s="755"/>
      <c r="R257" s="755"/>
      <c r="S257" s="754"/>
    </row>
    <row r="258" spans="1:19" hidden="1">
      <c r="A258" s="946">
        <v>6.5</v>
      </c>
      <c r="B258" s="942" t="s">
        <v>388</v>
      </c>
      <c r="C258" s="942"/>
      <c r="D258" s="944">
        <f>'[2]总投资-发采购-0411-GLP拆分场外费用(司调)'!G315</f>
        <v>4063.5</v>
      </c>
      <c r="E258" s="945">
        <f t="shared" si="10"/>
        <v>571.51898734177212</v>
      </c>
      <c r="F258" s="963">
        <f t="shared" si="11"/>
        <v>571.51898734177212</v>
      </c>
      <c r="G258" s="749"/>
      <c r="H258" s="749"/>
      <c r="I258" s="749"/>
      <c r="J258" s="754" t="s">
        <v>224</v>
      </c>
      <c r="K258" s="749"/>
      <c r="L258" s="749"/>
      <c r="M258" s="749"/>
      <c r="N258" s="749"/>
      <c r="O258" s="755"/>
      <c r="P258" s="755"/>
      <c r="Q258" s="755"/>
      <c r="R258" s="755"/>
      <c r="S258" s="754"/>
    </row>
    <row r="259" spans="1:19" hidden="1">
      <c r="A259" s="946" t="s">
        <v>389</v>
      </c>
      <c r="B259" s="942" t="s">
        <v>374</v>
      </c>
      <c r="C259" s="942"/>
      <c r="D259" s="944">
        <f>'[2]总投资-发采购-0411-GLP拆分场外费用(司调)'!G316</f>
        <v>4063.5</v>
      </c>
      <c r="E259" s="945">
        <f t="shared" si="10"/>
        <v>571.51898734177212</v>
      </c>
      <c r="F259" s="963">
        <f t="shared" si="11"/>
        <v>571.51898734177212</v>
      </c>
      <c r="G259" s="749"/>
      <c r="H259" s="749"/>
      <c r="I259" s="749"/>
      <c r="J259" s="754" t="s">
        <v>224</v>
      </c>
      <c r="K259" s="749"/>
      <c r="L259" s="749"/>
      <c r="M259" s="749"/>
      <c r="N259" s="749"/>
      <c r="O259" s="755"/>
      <c r="P259" s="755"/>
      <c r="Q259" s="755"/>
      <c r="R259" s="755"/>
      <c r="S259" s="754"/>
    </row>
    <row r="260" spans="1:19" hidden="1">
      <c r="A260" s="946">
        <v>6.6</v>
      </c>
      <c r="B260" s="942" t="s">
        <v>390</v>
      </c>
      <c r="C260" s="942"/>
      <c r="D260" s="944">
        <f>'[2]总投资-发采购-0411-GLP拆分场外费用(司调)'!G317</f>
        <v>1338.12</v>
      </c>
      <c r="E260" s="945">
        <f t="shared" si="10"/>
        <v>188.20253164556959</v>
      </c>
      <c r="F260" s="963">
        <f t="shared" si="11"/>
        <v>188.20253164556959</v>
      </c>
      <c r="G260" s="749"/>
      <c r="H260" s="749"/>
      <c r="I260" s="749"/>
      <c r="J260" s="754" t="s">
        <v>224</v>
      </c>
      <c r="K260" s="749"/>
      <c r="L260" s="749"/>
      <c r="M260" s="749"/>
      <c r="N260" s="749"/>
      <c r="O260" s="755"/>
      <c r="P260" s="755"/>
      <c r="Q260" s="755"/>
      <c r="R260" s="755"/>
      <c r="S260" s="754"/>
    </row>
    <row r="261" spans="1:19" hidden="1">
      <c r="A261" s="946" t="s">
        <v>391</v>
      </c>
      <c r="B261" s="942" t="s">
        <v>374</v>
      </c>
      <c r="C261" s="942"/>
      <c r="D261" s="944">
        <f>'[2]总投资-发采购-0411-GLP拆分场外费用(司调)'!G318</f>
        <v>1338.12</v>
      </c>
      <c r="E261" s="945">
        <f t="shared" si="10"/>
        <v>188.20253164556959</v>
      </c>
      <c r="F261" s="963">
        <f t="shared" si="11"/>
        <v>188.20253164556959</v>
      </c>
      <c r="G261" s="749"/>
      <c r="H261" s="749"/>
      <c r="I261" s="749"/>
      <c r="J261" s="754" t="s">
        <v>224</v>
      </c>
      <c r="K261" s="749"/>
      <c r="L261" s="749"/>
      <c r="M261" s="749"/>
      <c r="N261" s="749"/>
      <c r="O261" s="755"/>
      <c r="P261" s="755"/>
      <c r="Q261" s="755"/>
      <c r="R261" s="755"/>
      <c r="S261" s="754"/>
    </row>
    <row r="262" spans="1:19" ht="28.05" customHeight="1">
      <c r="A262" s="749" t="s">
        <v>392</v>
      </c>
      <c r="B262" s="789" t="s">
        <v>393</v>
      </c>
      <c r="C262" s="789" t="s">
        <v>394</v>
      </c>
      <c r="D262" s="791">
        <f>'[2]总投资-发采购-0411-GLP拆分场外费用(司调)'!G301</f>
        <v>20000</v>
      </c>
      <c r="E262" s="792">
        <f t="shared" si="10"/>
        <v>2812.939521800281</v>
      </c>
      <c r="F262" s="962">
        <v>1</v>
      </c>
      <c r="G262" s="797" t="s">
        <v>335</v>
      </c>
      <c r="H262" s="749" t="s">
        <v>30</v>
      </c>
      <c r="I262" s="749">
        <v>12</v>
      </c>
      <c r="J262" s="754" t="s">
        <v>224</v>
      </c>
      <c r="K262" s="749"/>
      <c r="L262" s="797"/>
      <c r="M262" s="749"/>
      <c r="N262" s="749"/>
      <c r="O262" s="755" t="s">
        <v>369</v>
      </c>
      <c r="P262" s="755" t="s">
        <v>395</v>
      </c>
      <c r="Q262" s="755" t="s">
        <v>337</v>
      </c>
      <c r="R262" s="755" t="s">
        <v>396</v>
      </c>
      <c r="S262" s="964" t="s">
        <v>397</v>
      </c>
    </row>
    <row r="263" spans="1:19" ht="51" customHeight="1">
      <c r="A263" s="749" t="s">
        <v>58</v>
      </c>
      <c r="B263" s="790" t="s">
        <v>398</v>
      </c>
      <c r="C263" s="790" t="s">
        <v>399</v>
      </c>
      <c r="D263" s="792">
        <f>SUM('[2]总投资-发采购-0411-GLP拆分场外费用(司调)'!G281,'[2]总投资-发采购-0411-GLP拆分场外费用(司调)'!G282,'[2]总投资-发采购-0411-GLP拆分场外费用(司调)'!G283,'[2]总投资-发采购-0411-GLP拆分场外费用(司调)'!G284,'[2]总投资-发采购-0411-GLP拆分场外费用(司调)'!G285,'[2]总投资-发采购-0411-GLP拆分场外费用(司调)'!G286,'[2]总投资-发采购-0411-GLP拆分场外费用(司调)'!G275,'[2]总投资-发采购-0411-GLP拆分场外费用(司调)'!G276,'[2]总投资-发采购-0411-GLP拆分场外费用(司调)'!G277,'[2]总投资-发采购-0411-GLP拆分场外费用(司调)'!G278,'[2]总投资-发采购-0411-GLP拆分场外费用(司调)'!G279)</f>
        <v>5413.5454999999993</v>
      </c>
      <c r="E263" s="792">
        <f t="shared" si="10"/>
        <v>761.39880450070314</v>
      </c>
      <c r="F263" s="962">
        <v>1</v>
      </c>
      <c r="G263" s="749" t="s">
        <v>400</v>
      </c>
      <c r="H263" s="749" t="s">
        <v>30</v>
      </c>
      <c r="I263" s="749">
        <v>12</v>
      </c>
      <c r="J263" s="754" t="s">
        <v>401</v>
      </c>
      <c r="K263" s="749" t="s">
        <v>135</v>
      </c>
      <c r="L263" s="797"/>
      <c r="M263" s="749"/>
      <c r="N263" s="749"/>
      <c r="O263" s="755" t="s">
        <v>369</v>
      </c>
      <c r="P263" s="755" t="s">
        <v>337</v>
      </c>
      <c r="Q263" s="755" t="s">
        <v>337</v>
      </c>
      <c r="R263" s="755" t="s">
        <v>293</v>
      </c>
      <c r="S263" s="754" t="s">
        <v>402</v>
      </c>
    </row>
    <row r="264" spans="1:19" hidden="1">
      <c r="A264" s="946" t="s">
        <v>403</v>
      </c>
      <c r="B264" s="942" t="s">
        <v>404</v>
      </c>
      <c r="C264" s="790">
        <f>'[2]总投资-发采购-0411-GLP拆分场外费用(司调)'!H281</f>
        <v>11022</v>
      </c>
      <c r="D264" s="945">
        <f>'[2]总投资-发采购-0411-GLP拆分场外费用(司调)'!G281</f>
        <v>363.67649999999998</v>
      </c>
      <c r="E264" s="945">
        <f t="shared" si="10"/>
        <v>51.149999999999991</v>
      </c>
      <c r="F264" s="963">
        <f>D264</f>
        <v>363.67649999999998</v>
      </c>
      <c r="G264" s="749"/>
      <c r="H264" s="749"/>
      <c r="I264" s="749"/>
      <c r="J264" s="754"/>
      <c r="K264" s="749"/>
      <c r="L264" s="749"/>
      <c r="M264" s="749"/>
      <c r="N264" s="749"/>
      <c r="O264" s="755"/>
      <c r="P264" s="738"/>
      <c r="Q264" s="738"/>
      <c r="R264" s="738"/>
      <c r="S264" s="697"/>
    </row>
    <row r="265" spans="1:19" hidden="1">
      <c r="A265" s="946" t="s">
        <v>405</v>
      </c>
      <c r="B265" s="942" t="s">
        <v>406</v>
      </c>
      <c r="C265" s="790">
        <f>'[2]总投资-发采购-0411-GLP拆分场外费用(司调)'!H282</f>
        <v>11707</v>
      </c>
      <c r="D265" s="945">
        <f>'[2]总投资-发采购-0411-GLP拆分场外费用(司调)'!G282</f>
        <v>386.1825</v>
      </c>
      <c r="E265" s="945">
        <f t="shared" ref="E265:E275" si="12">D265/$A$3</f>
        <v>54.315400843881854</v>
      </c>
      <c r="F265" s="963">
        <f t="shared" ref="F265:F274" si="13">D265</f>
        <v>386.1825</v>
      </c>
      <c r="G265" s="749"/>
      <c r="H265" s="749"/>
      <c r="I265" s="749"/>
      <c r="J265" s="754"/>
      <c r="K265" s="749"/>
      <c r="L265" s="749"/>
      <c r="M265" s="749"/>
      <c r="N265" s="749"/>
      <c r="O265" s="755"/>
      <c r="P265" s="738"/>
      <c r="Q265" s="738"/>
      <c r="R265" s="738"/>
      <c r="S265" s="697"/>
    </row>
    <row r="266" spans="1:19" hidden="1">
      <c r="A266" s="946" t="s">
        <v>407</v>
      </c>
      <c r="B266" s="942" t="s">
        <v>408</v>
      </c>
      <c r="C266" s="790">
        <f>'[2]总投资-发采购-0411-GLP拆分场外费用(司调)'!H283</f>
        <v>11707</v>
      </c>
      <c r="D266" s="945">
        <f>'[2]总投资-发采购-0411-GLP拆分场外费用(司调)'!G283</f>
        <v>386.1825</v>
      </c>
      <c r="E266" s="945">
        <f t="shared" si="12"/>
        <v>54.315400843881854</v>
      </c>
      <c r="F266" s="963">
        <f t="shared" si="13"/>
        <v>386.1825</v>
      </c>
      <c r="G266" s="749"/>
      <c r="H266" s="749"/>
      <c r="I266" s="749"/>
      <c r="J266" s="754"/>
      <c r="K266" s="749"/>
      <c r="L266" s="749"/>
      <c r="M266" s="749"/>
      <c r="N266" s="749"/>
      <c r="O266" s="755"/>
      <c r="P266" s="738"/>
      <c r="Q266" s="738"/>
      <c r="R266" s="738"/>
      <c r="S266" s="697"/>
    </row>
    <row r="267" spans="1:19" hidden="1">
      <c r="A267" s="946" t="s">
        <v>409</v>
      </c>
      <c r="B267" s="942" t="s">
        <v>410</v>
      </c>
      <c r="C267" s="790">
        <f>'[2]总投资-发采购-0411-GLP拆分场外费用(司调)'!H284</f>
        <v>11707</v>
      </c>
      <c r="D267" s="945">
        <f>'[2]总投资-发采购-0411-GLP拆分场外费用(司调)'!G284</f>
        <v>386.1825</v>
      </c>
      <c r="E267" s="945">
        <f t="shared" si="12"/>
        <v>54.315400843881854</v>
      </c>
      <c r="F267" s="963">
        <f t="shared" si="13"/>
        <v>386.1825</v>
      </c>
      <c r="G267" s="749"/>
      <c r="H267" s="749"/>
      <c r="I267" s="749"/>
      <c r="J267" s="754"/>
      <c r="K267" s="749"/>
      <c r="L267" s="749"/>
      <c r="M267" s="749"/>
      <c r="N267" s="749"/>
      <c r="O267" s="755"/>
      <c r="P267" s="738"/>
      <c r="Q267" s="738"/>
      <c r="R267" s="738"/>
      <c r="S267" s="697"/>
    </row>
    <row r="268" spans="1:19" hidden="1">
      <c r="A268" s="946" t="s">
        <v>411</v>
      </c>
      <c r="B268" s="942" t="s">
        <v>412</v>
      </c>
      <c r="C268" s="790">
        <f>'[2]总投资-发采购-0411-GLP拆分场外费用(司调)'!H285</f>
        <v>18327</v>
      </c>
      <c r="D268" s="945">
        <f>'[2]总投资-发采购-0411-GLP拆分场外费用(司调)'!G285</f>
        <v>604.76350000000002</v>
      </c>
      <c r="E268" s="945">
        <f t="shared" si="12"/>
        <v>85.058157524613222</v>
      </c>
      <c r="F268" s="963">
        <f t="shared" si="13"/>
        <v>604.76350000000002</v>
      </c>
      <c r="G268" s="749"/>
      <c r="H268" s="749"/>
      <c r="I268" s="749"/>
      <c r="J268" s="754"/>
      <c r="K268" s="749"/>
      <c r="L268" s="749"/>
      <c r="M268" s="749"/>
      <c r="N268" s="749"/>
      <c r="O268" s="755"/>
      <c r="P268" s="738"/>
      <c r="Q268" s="738"/>
      <c r="R268" s="738"/>
      <c r="S268" s="697"/>
    </row>
    <row r="269" spans="1:19" hidden="1">
      <c r="A269" s="946" t="s">
        <v>413</v>
      </c>
      <c r="B269" s="942" t="s">
        <v>414</v>
      </c>
      <c r="C269" s="790">
        <f>'[2]总投资-发采购-0411-GLP拆分场外费用(司调)'!H286</f>
        <v>11664</v>
      </c>
      <c r="D269" s="945">
        <f>'[2]总投资-发采购-0411-GLP拆分场外费用(司调)'!G286</f>
        <v>384.81849999999997</v>
      </c>
      <c r="E269" s="945">
        <f t="shared" si="12"/>
        <v>54.123558368495068</v>
      </c>
      <c r="F269" s="963">
        <f t="shared" si="13"/>
        <v>384.81849999999997</v>
      </c>
      <c r="G269" s="749"/>
      <c r="H269" s="749"/>
      <c r="I269" s="749"/>
      <c r="J269" s="754"/>
      <c r="K269" s="749"/>
      <c r="L269" s="749"/>
      <c r="M269" s="749"/>
      <c r="N269" s="749"/>
      <c r="O269" s="755"/>
      <c r="P269" s="738"/>
      <c r="Q269" s="738"/>
      <c r="R269" s="738"/>
      <c r="S269" s="697"/>
    </row>
    <row r="270" spans="1:19" hidden="1">
      <c r="A270" s="946" t="s">
        <v>415</v>
      </c>
      <c r="B270" s="942" t="s">
        <v>416</v>
      </c>
      <c r="C270" s="790">
        <f>'[2]总投资-发采购-0411-GLP拆分场外费用(司调)'!H275</f>
        <v>16128</v>
      </c>
      <c r="D270" s="945">
        <f>'[2]总投资-发采购-0411-GLP拆分场外费用(司调)'!G275</f>
        <v>532.13049999999998</v>
      </c>
      <c r="E270" s="945">
        <f t="shared" si="12"/>
        <v>74.842545710267217</v>
      </c>
      <c r="F270" s="963">
        <f t="shared" si="13"/>
        <v>532.13049999999998</v>
      </c>
      <c r="G270" s="749"/>
      <c r="H270" s="749"/>
      <c r="I270" s="749"/>
      <c r="J270" s="754"/>
      <c r="K270" s="749"/>
      <c r="L270" s="749"/>
      <c r="M270" s="749"/>
      <c r="N270" s="749"/>
      <c r="O270" s="755"/>
      <c r="P270" s="738"/>
      <c r="Q270" s="738"/>
      <c r="R270" s="738"/>
      <c r="S270" s="697"/>
    </row>
    <row r="271" spans="1:19" hidden="1">
      <c r="A271" s="946" t="s">
        <v>417</v>
      </c>
      <c r="B271" s="942" t="s">
        <v>418</v>
      </c>
      <c r="C271" s="790">
        <f>'[2]总投资-发采购-0411-GLP拆分场外费用(司调)'!H276</f>
        <v>18768</v>
      </c>
      <c r="D271" s="945">
        <f>'[2]总投资-发采购-0411-GLP拆分场外费用(司调)'!G276</f>
        <v>619.25599999999997</v>
      </c>
      <c r="E271" s="945">
        <f t="shared" si="12"/>
        <v>87.096483825597744</v>
      </c>
      <c r="F271" s="963">
        <f t="shared" si="13"/>
        <v>619.25599999999997</v>
      </c>
      <c r="G271" s="749"/>
      <c r="H271" s="749"/>
      <c r="I271" s="749"/>
      <c r="J271" s="754"/>
      <c r="K271" s="749"/>
      <c r="L271" s="749"/>
      <c r="M271" s="749"/>
      <c r="N271" s="749"/>
      <c r="O271" s="755"/>
      <c r="P271" s="738"/>
      <c r="Q271" s="738"/>
      <c r="R271" s="738"/>
      <c r="S271" s="697"/>
    </row>
    <row r="272" spans="1:19" hidden="1">
      <c r="A272" s="946" t="s">
        <v>419</v>
      </c>
      <c r="B272" s="942" t="s">
        <v>420</v>
      </c>
      <c r="C272" s="790">
        <f>'[2]总投资-发采购-0411-GLP拆分场外费用(司调)'!H277</f>
        <v>18768</v>
      </c>
      <c r="D272" s="945">
        <f>'[2]总投资-发采购-0411-GLP拆分场外费用(司调)'!G277</f>
        <v>619.25599999999997</v>
      </c>
      <c r="E272" s="945">
        <f t="shared" si="12"/>
        <v>87.096483825597744</v>
      </c>
      <c r="F272" s="963">
        <f t="shared" si="13"/>
        <v>619.25599999999997</v>
      </c>
      <c r="G272" s="749"/>
      <c r="H272" s="749"/>
      <c r="I272" s="749"/>
      <c r="J272" s="754"/>
      <c r="K272" s="749"/>
      <c r="L272" s="749"/>
      <c r="M272" s="749"/>
      <c r="N272" s="749"/>
      <c r="O272" s="755"/>
      <c r="P272" s="738"/>
      <c r="Q272" s="738"/>
      <c r="R272" s="738"/>
      <c r="S272" s="697"/>
    </row>
    <row r="273" spans="1:19" hidden="1">
      <c r="A273" s="946" t="s">
        <v>421</v>
      </c>
      <c r="B273" s="942" t="s">
        <v>422</v>
      </c>
      <c r="C273" s="790">
        <f>'[2]总投资-发采购-0411-GLP拆分场外费用(司调)'!H278</f>
        <v>17136</v>
      </c>
      <c r="D273" s="945">
        <f>'[2]总投资-发采购-0411-GLP拆分场外费用(司调)'!G278</f>
        <v>565.54849999999999</v>
      </c>
      <c r="E273" s="945">
        <f t="shared" si="12"/>
        <v>79.542686357243312</v>
      </c>
      <c r="F273" s="963">
        <f t="shared" si="13"/>
        <v>565.54849999999999</v>
      </c>
      <c r="G273" s="749"/>
      <c r="H273" s="749"/>
      <c r="I273" s="749"/>
      <c r="J273" s="754"/>
      <c r="K273" s="749"/>
      <c r="L273" s="749"/>
      <c r="M273" s="749"/>
      <c r="N273" s="749"/>
      <c r="O273" s="755"/>
      <c r="P273" s="738"/>
      <c r="Q273" s="738"/>
      <c r="R273" s="738"/>
      <c r="S273" s="697"/>
    </row>
    <row r="274" spans="1:19" hidden="1">
      <c r="A274" s="946" t="s">
        <v>423</v>
      </c>
      <c r="B274" s="942" t="s">
        <v>424</v>
      </c>
      <c r="C274" s="790">
        <f>'[2]总投资-发采购-0411-GLP拆分场外费用(司调)'!H279</f>
        <v>17136</v>
      </c>
      <c r="D274" s="945">
        <f>'[2]总投资-发采购-0411-GLP拆分场外费用(司调)'!G279</f>
        <v>565.54849999999999</v>
      </c>
      <c r="E274" s="945">
        <f t="shared" si="12"/>
        <v>79.542686357243312</v>
      </c>
      <c r="F274" s="963">
        <f t="shared" si="13"/>
        <v>565.54849999999999</v>
      </c>
      <c r="G274" s="749"/>
      <c r="H274" s="749"/>
      <c r="I274" s="749"/>
      <c r="J274" s="754"/>
      <c r="K274" s="749"/>
      <c r="L274" s="749"/>
      <c r="M274" s="749"/>
      <c r="N274" s="749"/>
      <c r="O274" s="755"/>
      <c r="P274" s="738"/>
      <c r="Q274" s="738"/>
      <c r="R274" s="738"/>
      <c r="S274" s="697"/>
    </row>
    <row r="275" spans="1:19" ht="29.55" customHeight="1">
      <c r="A275" s="606" t="s">
        <v>63</v>
      </c>
      <c r="B275" s="709" t="s">
        <v>425</v>
      </c>
      <c r="C275" s="709" t="s">
        <v>426</v>
      </c>
      <c r="D275" s="712">
        <f>SUM('[2]总投资-发采购-0411-GLP拆分场外费用(司调)'!G260:G274,'[2]总投资-发采购-0411-GLP拆分场外费用(司调)'!G280)</f>
        <v>6823.4099999999989</v>
      </c>
      <c r="E275" s="712">
        <f t="shared" si="12"/>
        <v>959.69198312236267</v>
      </c>
      <c r="F275" s="920">
        <v>1</v>
      </c>
      <c r="G275" s="780" t="s">
        <v>427</v>
      </c>
      <c r="H275" s="606" t="s">
        <v>30</v>
      </c>
      <c r="I275" s="606">
        <v>42</v>
      </c>
      <c r="J275" s="781" t="s">
        <v>180</v>
      </c>
      <c r="K275" s="606"/>
      <c r="L275" s="606"/>
      <c r="M275" s="606"/>
      <c r="N275" s="606"/>
      <c r="O275" s="738" t="s">
        <v>181</v>
      </c>
      <c r="P275" s="738" t="s">
        <v>428</v>
      </c>
      <c r="Q275" s="738" t="s">
        <v>429</v>
      </c>
      <c r="R275" s="738" t="s">
        <v>228</v>
      </c>
      <c r="S275" s="697"/>
    </row>
    <row r="276" spans="1:19" hidden="1">
      <c r="A276" s="921">
        <v>4.0999999999999996</v>
      </c>
      <c r="B276" s="922" t="s">
        <v>430</v>
      </c>
      <c r="C276" s="922" t="s">
        <v>431</v>
      </c>
      <c r="D276" s="924">
        <f>[2]总投资20240410!F327</f>
        <v>12236.96</v>
      </c>
      <c r="E276" s="712">
        <f t="shared" ref="E276:E308" si="14">D276/$A$3</f>
        <v>1721.0914205344584</v>
      </c>
      <c r="F276" s="920">
        <f t="shared" ref="F276:F306" si="15">E276</f>
        <v>1721.0914205344584</v>
      </c>
      <c r="G276" s="606"/>
      <c r="H276" s="606"/>
      <c r="I276" s="606"/>
      <c r="J276" s="697"/>
      <c r="K276" s="606"/>
      <c r="L276" s="606"/>
      <c r="M276" s="606"/>
      <c r="N276" s="606"/>
      <c r="O276" s="738"/>
      <c r="P276" s="738"/>
      <c r="Q276" s="738"/>
      <c r="R276" s="738"/>
      <c r="S276" s="697"/>
    </row>
    <row r="277" spans="1:19" hidden="1">
      <c r="A277" s="921"/>
      <c r="B277" s="948" t="s">
        <v>432</v>
      </c>
      <c r="C277" s="948">
        <f>SUM(C278:C292)</f>
        <v>196714.11</v>
      </c>
      <c r="D277" s="937">
        <f>SUM(D278:D293)</f>
        <v>6823.414499999999</v>
      </c>
      <c r="E277" s="712">
        <f t="shared" si="14"/>
        <v>959.69261603375503</v>
      </c>
      <c r="F277" s="920">
        <f t="shared" si="15"/>
        <v>959.69261603375503</v>
      </c>
      <c r="G277" s="606"/>
      <c r="H277" s="606"/>
      <c r="I277" s="606"/>
      <c r="J277" s="697"/>
      <c r="K277" s="606"/>
      <c r="L277" s="606"/>
      <c r="M277" s="606"/>
      <c r="N277" s="606"/>
      <c r="O277" s="738"/>
      <c r="P277" s="738"/>
      <c r="Q277" s="738"/>
      <c r="R277" s="738"/>
      <c r="S277" s="697"/>
    </row>
    <row r="278" spans="1:19" hidden="1">
      <c r="A278" s="921" t="s">
        <v>433</v>
      </c>
      <c r="B278" s="922" t="s">
        <v>434</v>
      </c>
      <c r="C278" s="922">
        <v>5226.66</v>
      </c>
      <c r="D278" s="924">
        <f>'[2]总投资-发采购-0411-GLP拆分场外费用(司调)'!G260</f>
        <v>172.37549999999999</v>
      </c>
      <c r="E278" s="712">
        <f t="shared" si="14"/>
        <v>24.244092827004216</v>
      </c>
      <c r="F278" s="920">
        <f t="shared" si="15"/>
        <v>24.244092827004216</v>
      </c>
      <c r="G278" s="606"/>
      <c r="H278" s="606"/>
      <c r="I278" s="606"/>
      <c r="J278" s="697"/>
      <c r="K278" s="606"/>
      <c r="L278" s="606"/>
      <c r="M278" s="606"/>
      <c r="N278" s="606"/>
      <c r="O278" s="738"/>
      <c r="P278" s="738"/>
      <c r="Q278" s="738"/>
      <c r="R278" s="738"/>
      <c r="S278" s="697"/>
    </row>
    <row r="279" spans="1:19" hidden="1">
      <c r="A279" s="921" t="s">
        <v>435</v>
      </c>
      <c r="B279" s="922" t="s">
        <v>436</v>
      </c>
      <c r="C279" s="922">
        <v>4929.0200000000004</v>
      </c>
      <c r="D279" s="924">
        <f>'[2]总投资-发采购-0411-GLP拆分场外费用(司调)'!G261</f>
        <v>162.65700000000001</v>
      </c>
      <c r="E279" s="712">
        <f t="shared" si="14"/>
        <v>22.877215189873418</v>
      </c>
      <c r="F279" s="920">
        <f t="shared" si="15"/>
        <v>22.877215189873418</v>
      </c>
      <c r="G279" s="606"/>
      <c r="H279" s="606"/>
      <c r="I279" s="606"/>
      <c r="J279" s="697"/>
      <c r="K279" s="606"/>
      <c r="L279" s="606"/>
      <c r="M279" s="606"/>
      <c r="N279" s="606"/>
      <c r="O279" s="738"/>
      <c r="P279" s="738"/>
      <c r="Q279" s="738"/>
      <c r="R279" s="738"/>
      <c r="S279" s="697"/>
    </row>
    <row r="280" spans="1:19" hidden="1">
      <c r="A280" s="921" t="s">
        <v>437</v>
      </c>
      <c r="B280" s="922" t="s">
        <v>438</v>
      </c>
      <c r="C280" s="922">
        <v>13104</v>
      </c>
      <c r="D280" s="924">
        <f>'[2]总投资-发采购-0411-GLP拆分场外费用(司调)'!G262</f>
        <v>432.38799999999998</v>
      </c>
      <c r="E280" s="712">
        <f t="shared" si="14"/>
        <v>60.814064697608998</v>
      </c>
      <c r="F280" s="920">
        <f t="shared" si="15"/>
        <v>60.814064697608998</v>
      </c>
      <c r="G280" s="606"/>
      <c r="H280" s="606"/>
      <c r="I280" s="606"/>
      <c r="J280" s="697"/>
      <c r="K280" s="606"/>
      <c r="L280" s="606"/>
      <c r="M280" s="606"/>
      <c r="N280" s="606"/>
      <c r="O280" s="738"/>
      <c r="P280" s="738"/>
      <c r="Q280" s="738"/>
      <c r="R280" s="738"/>
      <c r="S280" s="697"/>
    </row>
    <row r="281" spans="1:19" hidden="1">
      <c r="A281" s="921" t="s">
        <v>439</v>
      </c>
      <c r="B281" s="922" t="s">
        <v>440</v>
      </c>
      <c r="C281" s="922">
        <v>13104</v>
      </c>
      <c r="D281" s="924">
        <f>'[2]总投资-发采购-0411-GLP拆分场外费用(司调)'!G263</f>
        <v>432.38799999999998</v>
      </c>
      <c r="E281" s="712">
        <f t="shared" si="14"/>
        <v>60.814064697608998</v>
      </c>
      <c r="F281" s="920">
        <f t="shared" si="15"/>
        <v>60.814064697608998</v>
      </c>
      <c r="G281" s="606"/>
      <c r="H281" s="606"/>
      <c r="I281" s="606"/>
      <c r="J281" s="697"/>
      <c r="K281" s="606"/>
      <c r="L281" s="606"/>
      <c r="M281" s="606"/>
      <c r="N281" s="606"/>
      <c r="O281" s="738"/>
      <c r="P281" s="738"/>
      <c r="Q281" s="738"/>
      <c r="R281" s="738"/>
      <c r="S281" s="697"/>
    </row>
    <row r="282" spans="1:19" hidden="1">
      <c r="A282" s="921" t="s">
        <v>441</v>
      </c>
      <c r="B282" s="922" t="s">
        <v>442</v>
      </c>
      <c r="C282" s="922">
        <v>13104</v>
      </c>
      <c r="D282" s="924">
        <f>'[2]总投资-发采购-0411-GLP拆分场外费用(司调)'!G264</f>
        <v>432.38799999999998</v>
      </c>
      <c r="E282" s="712">
        <f t="shared" si="14"/>
        <v>60.814064697608998</v>
      </c>
      <c r="F282" s="920">
        <f t="shared" si="15"/>
        <v>60.814064697608998</v>
      </c>
      <c r="G282" s="606"/>
      <c r="H282" s="606"/>
      <c r="I282" s="606"/>
      <c r="J282" s="697"/>
      <c r="K282" s="606"/>
      <c r="L282" s="606"/>
      <c r="M282" s="606"/>
      <c r="N282" s="606"/>
      <c r="O282" s="738"/>
      <c r="P282" s="738"/>
      <c r="Q282" s="738"/>
      <c r="R282" s="738"/>
      <c r="S282" s="697"/>
    </row>
    <row r="283" spans="1:19" hidden="1">
      <c r="A283" s="921" t="s">
        <v>443</v>
      </c>
      <c r="B283" s="922" t="s">
        <v>444</v>
      </c>
      <c r="C283" s="922">
        <v>13104</v>
      </c>
      <c r="D283" s="924">
        <f>'[2]总投资-发采购-0411-GLP拆分场外费用(司调)'!G265</f>
        <v>432.38799999999998</v>
      </c>
      <c r="E283" s="712">
        <f t="shared" si="14"/>
        <v>60.814064697608998</v>
      </c>
      <c r="F283" s="920">
        <f t="shared" si="15"/>
        <v>60.814064697608998</v>
      </c>
      <c r="G283" s="606"/>
      <c r="H283" s="606"/>
      <c r="I283" s="606"/>
      <c r="J283" s="697"/>
      <c r="K283" s="606"/>
      <c r="L283" s="606"/>
      <c r="M283" s="606"/>
      <c r="N283" s="606"/>
      <c r="O283" s="738"/>
      <c r="P283" s="738"/>
      <c r="Q283" s="738"/>
      <c r="R283" s="738"/>
      <c r="S283" s="697"/>
    </row>
    <row r="284" spans="1:19" hidden="1">
      <c r="A284" s="921" t="s">
        <v>445</v>
      </c>
      <c r="B284" s="922" t="s">
        <v>446</v>
      </c>
      <c r="C284" s="922">
        <v>13104</v>
      </c>
      <c r="D284" s="924">
        <f>'[2]总投资-发采购-0411-GLP拆分场外费用(司调)'!G266</f>
        <v>432.38799999999998</v>
      </c>
      <c r="E284" s="712">
        <f t="shared" si="14"/>
        <v>60.814064697608998</v>
      </c>
      <c r="F284" s="920">
        <f t="shared" si="15"/>
        <v>60.814064697608998</v>
      </c>
      <c r="G284" s="606"/>
      <c r="H284" s="606"/>
      <c r="I284" s="606"/>
      <c r="J284" s="697"/>
      <c r="K284" s="606"/>
      <c r="L284" s="606"/>
      <c r="M284" s="606"/>
      <c r="N284" s="606"/>
      <c r="O284" s="738"/>
      <c r="P284" s="738"/>
      <c r="Q284" s="738"/>
      <c r="R284" s="738"/>
      <c r="S284" s="697"/>
    </row>
    <row r="285" spans="1:19" hidden="1">
      <c r="A285" s="921" t="s">
        <v>447</v>
      </c>
      <c r="B285" s="922" t="s">
        <v>448</v>
      </c>
      <c r="C285" s="922">
        <v>15120</v>
      </c>
      <c r="D285" s="924">
        <f>'[2]总投资-发采购-0411-GLP拆分场外费用(司调)'!G267</f>
        <v>498.88299999999998</v>
      </c>
      <c r="E285" s="712">
        <f t="shared" si="14"/>
        <v>70.166385372714487</v>
      </c>
      <c r="F285" s="920">
        <f t="shared" si="15"/>
        <v>70.166385372714487</v>
      </c>
      <c r="G285" s="606"/>
      <c r="H285" s="606"/>
      <c r="I285" s="606"/>
      <c r="J285" s="697"/>
      <c r="K285" s="606"/>
      <c r="L285" s="606"/>
      <c r="M285" s="606"/>
      <c r="N285" s="606"/>
      <c r="O285" s="738"/>
      <c r="P285" s="738"/>
      <c r="Q285" s="738"/>
      <c r="R285" s="738"/>
      <c r="S285" s="697"/>
    </row>
    <row r="286" spans="1:19" hidden="1">
      <c r="A286" s="921" t="s">
        <v>449</v>
      </c>
      <c r="B286" s="922" t="s">
        <v>450</v>
      </c>
      <c r="C286" s="922">
        <v>15120</v>
      </c>
      <c r="D286" s="924">
        <f>'[2]总投资-发采购-0411-GLP拆分场外费用(司调)'!G268</f>
        <v>498.88299999999998</v>
      </c>
      <c r="E286" s="712">
        <f t="shared" si="14"/>
        <v>70.166385372714487</v>
      </c>
      <c r="F286" s="920">
        <f t="shared" si="15"/>
        <v>70.166385372714487</v>
      </c>
      <c r="G286" s="606"/>
      <c r="H286" s="606"/>
      <c r="I286" s="606"/>
      <c r="J286" s="697"/>
      <c r="K286" s="606"/>
      <c r="L286" s="606"/>
      <c r="M286" s="606"/>
      <c r="N286" s="606"/>
      <c r="O286" s="738"/>
      <c r="P286" s="738"/>
      <c r="Q286" s="738"/>
      <c r="R286" s="738"/>
      <c r="S286" s="697"/>
    </row>
    <row r="287" spans="1:19" hidden="1">
      <c r="A287" s="921" t="s">
        <v>451</v>
      </c>
      <c r="B287" s="922" t="s">
        <v>452</v>
      </c>
      <c r="C287" s="922">
        <v>15120</v>
      </c>
      <c r="D287" s="924">
        <f>'[2]总投资-发采购-0411-GLP拆分场外费用(司调)'!G269</f>
        <v>498.88299999999998</v>
      </c>
      <c r="E287" s="712">
        <f t="shared" si="14"/>
        <v>70.166385372714487</v>
      </c>
      <c r="F287" s="920">
        <f t="shared" si="15"/>
        <v>70.166385372714487</v>
      </c>
      <c r="G287" s="606"/>
      <c r="H287" s="606"/>
      <c r="I287" s="606"/>
      <c r="J287" s="697"/>
      <c r="K287" s="606"/>
      <c r="L287" s="606"/>
      <c r="M287" s="606"/>
      <c r="N287" s="606"/>
      <c r="O287" s="738"/>
      <c r="P287" s="738"/>
      <c r="Q287" s="738"/>
      <c r="R287" s="738"/>
      <c r="S287" s="697"/>
    </row>
    <row r="288" spans="1:19" hidden="1">
      <c r="A288" s="921" t="s">
        <v>453</v>
      </c>
      <c r="B288" s="922" t="s">
        <v>454</v>
      </c>
      <c r="C288" s="922">
        <v>15120</v>
      </c>
      <c r="D288" s="924">
        <f>'[2]总投资-发采购-0411-GLP拆分场外费用(司调)'!G270</f>
        <v>498.88299999999998</v>
      </c>
      <c r="E288" s="712">
        <f t="shared" si="14"/>
        <v>70.166385372714487</v>
      </c>
      <c r="F288" s="920">
        <f t="shared" si="15"/>
        <v>70.166385372714487</v>
      </c>
      <c r="G288" s="606"/>
      <c r="H288" s="606"/>
      <c r="I288" s="606"/>
      <c r="J288" s="697"/>
      <c r="K288" s="606"/>
      <c r="L288" s="606"/>
      <c r="M288" s="606"/>
      <c r="N288" s="606"/>
      <c r="O288" s="738"/>
      <c r="P288" s="738"/>
      <c r="Q288" s="738"/>
      <c r="R288" s="738"/>
      <c r="S288" s="697"/>
    </row>
    <row r="289" spans="1:19" hidden="1">
      <c r="A289" s="921" t="s">
        <v>455</v>
      </c>
      <c r="B289" s="922" t="s">
        <v>456</v>
      </c>
      <c r="C289" s="922">
        <v>10800</v>
      </c>
      <c r="D289" s="924">
        <f>'[2]总投资-发采购-0411-GLP拆分场外费用(司调)'!G271</f>
        <v>356.34500000000003</v>
      </c>
      <c r="E289" s="712">
        <f t="shared" si="14"/>
        <v>50.118846694796062</v>
      </c>
      <c r="F289" s="920">
        <f t="shared" si="15"/>
        <v>50.118846694796062</v>
      </c>
      <c r="G289" s="606"/>
      <c r="H289" s="606"/>
      <c r="I289" s="606"/>
      <c r="J289" s="697"/>
      <c r="K289" s="606"/>
      <c r="L289" s="606"/>
      <c r="M289" s="606"/>
      <c r="N289" s="606"/>
      <c r="O289" s="738"/>
      <c r="P289" s="738"/>
      <c r="Q289" s="738"/>
      <c r="R289" s="738"/>
      <c r="S289" s="697"/>
    </row>
    <row r="290" spans="1:19" hidden="1">
      <c r="A290" s="921" t="s">
        <v>457</v>
      </c>
      <c r="B290" s="922" t="s">
        <v>458</v>
      </c>
      <c r="C290" s="922">
        <v>9360</v>
      </c>
      <c r="D290" s="924">
        <f>'[2]总投资-发采购-0411-GLP拆分场外费用(司调)'!G272</f>
        <v>308.77550000000002</v>
      </c>
      <c r="E290" s="712">
        <f t="shared" si="14"/>
        <v>43.428340365682139</v>
      </c>
      <c r="F290" s="920">
        <f t="shared" si="15"/>
        <v>43.428340365682139</v>
      </c>
      <c r="G290" s="606"/>
      <c r="H290" s="606"/>
      <c r="I290" s="606"/>
      <c r="J290" s="697"/>
      <c r="K290" s="606"/>
      <c r="L290" s="606"/>
      <c r="M290" s="606"/>
      <c r="N290" s="606"/>
      <c r="O290" s="738"/>
      <c r="P290" s="738"/>
      <c r="Q290" s="738"/>
      <c r="R290" s="738"/>
      <c r="S290" s="697"/>
    </row>
    <row r="291" spans="1:19" hidden="1">
      <c r="A291" s="921" t="s">
        <v>459</v>
      </c>
      <c r="B291" s="922" t="s">
        <v>460</v>
      </c>
      <c r="C291" s="922">
        <v>17136</v>
      </c>
      <c r="D291" s="924">
        <f>'[2]总投资-发采购-0411-GLP拆分场外费用(司调)'!G273</f>
        <v>565.54849999999999</v>
      </c>
      <c r="E291" s="712">
        <f t="shared" si="14"/>
        <v>79.542686357243312</v>
      </c>
      <c r="F291" s="920">
        <f t="shared" si="15"/>
        <v>79.542686357243312</v>
      </c>
      <c r="G291" s="606"/>
      <c r="H291" s="606"/>
      <c r="I291" s="606"/>
      <c r="J291" s="697"/>
      <c r="K291" s="606"/>
      <c r="L291" s="606"/>
      <c r="M291" s="606"/>
      <c r="N291" s="606"/>
      <c r="O291" s="738"/>
      <c r="P291" s="738"/>
      <c r="Q291" s="738"/>
      <c r="R291" s="738"/>
      <c r="S291" s="697"/>
    </row>
    <row r="292" spans="1:19" hidden="1">
      <c r="A292" s="921" t="s">
        <v>461</v>
      </c>
      <c r="B292" s="922" t="s">
        <v>462</v>
      </c>
      <c r="C292" s="922">
        <v>23262.43</v>
      </c>
      <c r="D292" s="924">
        <f>'[2]总投资-发采购-0411-GLP拆分场外费用(司调)'!G274</f>
        <v>767.59100000000001</v>
      </c>
      <c r="E292" s="712">
        <f t="shared" si="14"/>
        <v>107.95935302390998</v>
      </c>
      <c r="F292" s="920">
        <f t="shared" si="15"/>
        <v>107.95935302390998</v>
      </c>
      <c r="G292" s="606"/>
      <c r="H292" s="606"/>
      <c r="I292" s="606"/>
      <c r="J292" s="697"/>
      <c r="K292" s="606"/>
      <c r="L292" s="606"/>
      <c r="M292" s="606"/>
      <c r="N292" s="606"/>
      <c r="O292" s="738"/>
      <c r="P292" s="738"/>
      <c r="Q292" s="738"/>
      <c r="R292" s="738"/>
      <c r="S292" s="697"/>
    </row>
    <row r="293" spans="1:19" hidden="1">
      <c r="A293" s="921" t="s">
        <v>463</v>
      </c>
      <c r="B293" s="922" t="s">
        <v>464</v>
      </c>
      <c r="C293" s="922">
        <v>10080</v>
      </c>
      <c r="D293" s="924">
        <v>332.65</v>
      </c>
      <c r="E293" s="712">
        <f t="shared" si="14"/>
        <v>46.786216596343174</v>
      </c>
      <c r="F293" s="920">
        <f t="shared" si="15"/>
        <v>46.786216596343174</v>
      </c>
      <c r="G293" s="606"/>
      <c r="H293" s="606"/>
      <c r="I293" s="606"/>
      <c r="J293" s="697"/>
      <c r="K293" s="606"/>
      <c r="L293" s="606"/>
      <c r="M293" s="606"/>
      <c r="N293" s="606"/>
      <c r="O293" s="738"/>
      <c r="P293" s="738"/>
      <c r="Q293" s="738"/>
      <c r="R293" s="738"/>
      <c r="S293" s="697"/>
    </row>
    <row r="294" spans="1:19" hidden="1">
      <c r="A294" s="921"/>
      <c r="B294" s="948" t="s">
        <v>465</v>
      </c>
      <c r="C294" s="948">
        <f>SUM(C295:C299)</f>
        <v>87936</v>
      </c>
      <c r="D294" s="937">
        <f>SUM(D295:D299)</f>
        <v>2901.75</v>
      </c>
      <c r="E294" s="712">
        <f t="shared" si="14"/>
        <v>408.1223628691983</v>
      </c>
      <c r="F294" s="920">
        <f t="shared" si="15"/>
        <v>408.1223628691983</v>
      </c>
      <c r="G294" s="606"/>
      <c r="H294" s="606"/>
      <c r="I294" s="606"/>
      <c r="J294" s="697"/>
      <c r="K294" s="606"/>
      <c r="L294" s="606"/>
      <c r="M294" s="606"/>
      <c r="N294" s="606"/>
      <c r="O294" s="738"/>
      <c r="P294" s="738"/>
      <c r="Q294" s="738"/>
      <c r="R294" s="738"/>
      <c r="S294" s="697"/>
    </row>
    <row r="295" spans="1:19" hidden="1">
      <c r="A295" s="921" t="s">
        <v>415</v>
      </c>
      <c r="B295" s="922" t="s">
        <v>466</v>
      </c>
      <c r="C295" s="922">
        <v>16128</v>
      </c>
      <c r="D295" s="924">
        <v>532.13</v>
      </c>
      <c r="E295" s="712">
        <f t="shared" si="14"/>
        <v>74.842475386779185</v>
      </c>
      <c r="F295" s="920">
        <f t="shared" si="15"/>
        <v>74.842475386779185</v>
      </c>
      <c r="G295" s="606"/>
      <c r="H295" s="606"/>
      <c r="I295" s="606"/>
      <c r="J295" s="697"/>
      <c r="K295" s="606"/>
      <c r="L295" s="606"/>
      <c r="M295" s="606"/>
      <c r="N295" s="606"/>
      <c r="O295" s="738"/>
      <c r="P295" s="738"/>
      <c r="Q295" s="738"/>
      <c r="R295" s="738"/>
      <c r="S295" s="697"/>
    </row>
    <row r="296" spans="1:19" hidden="1">
      <c r="A296" s="921" t="s">
        <v>417</v>
      </c>
      <c r="B296" s="922" t="s">
        <v>467</v>
      </c>
      <c r="C296" s="922">
        <v>18768</v>
      </c>
      <c r="D296" s="924">
        <v>619.26</v>
      </c>
      <c r="E296" s="712">
        <f t="shared" si="14"/>
        <v>87.097046413502099</v>
      </c>
      <c r="F296" s="920">
        <f t="shared" si="15"/>
        <v>87.097046413502099</v>
      </c>
      <c r="G296" s="606"/>
      <c r="H296" s="606"/>
      <c r="I296" s="606"/>
      <c r="J296" s="697"/>
      <c r="K296" s="606"/>
      <c r="L296" s="606"/>
      <c r="M296" s="606"/>
      <c r="N296" s="606"/>
      <c r="O296" s="738"/>
      <c r="P296" s="738"/>
      <c r="Q296" s="738"/>
      <c r="R296" s="738"/>
      <c r="S296" s="697"/>
    </row>
    <row r="297" spans="1:19" hidden="1">
      <c r="A297" s="921" t="s">
        <v>419</v>
      </c>
      <c r="B297" s="922" t="s">
        <v>468</v>
      </c>
      <c r="C297" s="922">
        <v>18768</v>
      </c>
      <c r="D297" s="924">
        <v>619.26</v>
      </c>
      <c r="E297" s="712">
        <f t="shared" si="14"/>
        <v>87.097046413502099</v>
      </c>
      <c r="F297" s="920">
        <f t="shared" si="15"/>
        <v>87.097046413502099</v>
      </c>
      <c r="G297" s="606"/>
      <c r="H297" s="606"/>
      <c r="I297" s="606"/>
      <c r="J297" s="697"/>
      <c r="K297" s="606"/>
      <c r="L297" s="606"/>
      <c r="M297" s="606"/>
      <c r="N297" s="606"/>
      <c r="O297" s="738"/>
      <c r="P297" s="738"/>
      <c r="Q297" s="738"/>
      <c r="R297" s="738"/>
      <c r="S297" s="697"/>
    </row>
    <row r="298" spans="1:19" hidden="1">
      <c r="A298" s="921" t="s">
        <v>421</v>
      </c>
      <c r="B298" s="922" t="s">
        <v>469</v>
      </c>
      <c r="C298" s="922">
        <v>17136</v>
      </c>
      <c r="D298" s="924">
        <v>565.54999999999995</v>
      </c>
      <c r="E298" s="712">
        <f t="shared" si="14"/>
        <v>79.54289732770745</v>
      </c>
      <c r="F298" s="920">
        <f t="shared" si="15"/>
        <v>79.54289732770745</v>
      </c>
      <c r="G298" s="606"/>
      <c r="H298" s="606"/>
      <c r="I298" s="606"/>
      <c r="J298" s="697"/>
      <c r="K298" s="606"/>
      <c r="L298" s="606"/>
      <c r="M298" s="606"/>
      <c r="N298" s="606"/>
      <c r="O298" s="738"/>
      <c r="P298" s="738"/>
      <c r="Q298" s="738"/>
      <c r="R298" s="738"/>
      <c r="S298" s="697"/>
    </row>
    <row r="299" spans="1:19" hidden="1">
      <c r="A299" s="921" t="s">
        <v>423</v>
      </c>
      <c r="B299" s="922" t="s">
        <v>470</v>
      </c>
      <c r="C299" s="922">
        <v>17136</v>
      </c>
      <c r="D299" s="924">
        <v>565.54999999999995</v>
      </c>
      <c r="E299" s="712">
        <f t="shared" si="14"/>
        <v>79.54289732770745</v>
      </c>
      <c r="F299" s="920">
        <f t="shared" si="15"/>
        <v>79.54289732770745</v>
      </c>
      <c r="G299" s="606"/>
      <c r="H299" s="606"/>
      <c r="I299" s="606"/>
      <c r="J299" s="697"/>
      <c r="K299" s="606"/>
      <c r="L299" s="606"/>
      <c r="M299" s="606"/>
      <c r="N299" s="606"/>
      <c r="O299" s="738"/>
      <c r="P299" s="738"/>
      <c r="Q299" s="738"/>
      <c r="R299" s="738"/>
      <c r="S299" s="697"/>
    </row>
    <row r="300" spans="1:19" hidden="1">
      <c r="A300" s="921"/>
      <c r="B300" s="948" t="s">
        <v>471</v>
      </c>
      <c r="C300" s="948">
        <f ca="1">SUM(C293:C306)</f>
        <v>86214</v>
      </c>
      <c r="D300" s="937">
        <f ca="1">SUM(D293:D306)</f>
        <v>2844.45</v>
      </c>
      <c r="E300" s="712">
        <f t="shared" ca="1" si="14"/>
        <v>961.49055194667903</v>
      </c>
      <c r="F300" s="920">
        <f t="shared" ca="1" si="15"/>
        <v>961.49055194667903</v>
      </c>
      <c r="G300" s="606"/>
      <c r="H300" s="606"/>
      <c r="I300" s="606"/>
      <c r="J300" s="697"/>
      <c r="K300" s="606"/>
      <c r="L300" s="606"/>
      <c r="M300" s="606"/>
      <c r="N300" s="606"/>
      <c r="O300" s="738"/>
      <c r="P300" s="738"/>
      <c r="Q300" s="738"/>
      <c r="R300" s="738"/>
      <c r="S300" s="697"/>
    </row>
    <row r="301" spans="1:19" ht="26.4" hidden="1">
      <c r="A301" s="921" t="s">
        <v>403</v>
      </c>
      <c r="B301" s="922" t="s">
        <v>472</v>
      </c>
      <c r="C301" s="922">
        <v>11022</v>
      </c>
      <c r="D301" s="924">
        <v>363.68</v>
      </c>
      <c r="E301" s="712">
        <f t="shared" si="14"/>
        <v>51.150492264416314</v>
      </c>
      <c r="F301" s="920">
        <f t="shared" si="15"/>
        <v>51.150492264416314</v>
      </c>
      <c r="G301" s="606"/>
      <c r="H301" s="606"/>
      <c r="I301" s="606"/>
      <c r="J301" s="697"/>
      <c r="K301" s="606"/>
      <c r="L301" s="606"/>
      <c r="M301" s="606"/>
      <c r="N301" s="606"/>
      <c r="O301" s="738"/>
      <c r="P301" s="738"/>
      <c r="Q301" s="738"/>
      <c r="R301" s="738"/>
      <c r="S301" s="697"/>
    </row>
    <row r="302" spans="1:19" hidden="1">
      <c r="A302" s="921" t="s">
        <v>405</v>
      </c>
      <c r="B302" s="922" t="s">
        <v>406</v>
      </c>
      <c r="C302" s="922">
        <v>11707</v>
      </c>
      <c r="D302" s="924">
        <v>386.18</v>
      </c>
      <c r="E302" s="712">
        <f t="shared" si="14"/>
        <v>54.31504922644163</v>
      </c>
      <c r="F302" s="920">
        <f t="shared" si="15"/>
        <v>54.31504922644163</v>
      </c>
      <c r="G302" s="606"/>
      <c r="H302" s="606"/>
      <c r="I302" s="606"/>
      <c r="J302" s="697"/>
      <c r="K302" s="606"/>
      <c r="L302" s="606"/>
      <c r="M302" s="606"/>
      <c r="N302" s="606"/>
      <c r="O302" s="738"/>
      <c r="P302" s="738"/>
      <c r="Q302" s="738"/>
      <c r="R302" s="738"/>
      <c r="S302" s="697"/>
    </row>
    <row r="303" spans="1:19" hidden="1">
      <c r="A303" s="921" t="s">
        <v>407</v>
      </c>
      <c r="B303" s="922" t="s">
        <v>408</v>
      </c>
      <c r="C303" s="922">
        <v>11707</v>
      </c>
      <c r="D303" s="924">
        <v>386.18</v>
      </c>
      <c r="E303" s="712">
        <f t="shared" si="14"/>
        <v>54.31504922644163</v>
      </c>
      <c r="F303" s="920">
        <f t="shared" si="15"/>
        <v>54.31504922644163</v>
      </c>
      <c r="G303" s="606"/>
      <c r="H303" s="606"/>
      <c r="I303" s="606"/>
      <c r="J303" s="697"/>
      <c r="K303" s="606"/>
      <c r="L303" s="606"/>
      <c r="M303" s="606"/>
      <c r="N303" s="606"/>
      <c r="O303" s="738"/>
      <c r="P303" s="738"/>
      <c r="Q303" s="738"/>
      <c r="R303" s="738"/>
      <c r="S303" s="697"/>
    </row>
    <row r="304" spans="1:19" hidden="1">
      <c r="A304" s="921" t="s">
        <v>409</v>
      </c>
      <c r="B304" s="922" t="s">
        <v>410</v>
      </c>
      <c r="C304" s="922">
        <v>11707</v>
      </c>
      <c r="D304" s="924">
        <v>386.18</v>
      </c>
      <c r="E304" s="712">
        <f t="shared" si="14"/>
        <v>54.31504922644163</v>
      </c>
      <c r="F304" s="920">
        <f t="shared" si="15"/>
        <v>54.31504922644163</v>
      </c>
      <c r="G304" s="606"/>
      <c r="H304" s="606"/>
      <c r="I304" s="606"/>
      <c r="J304" s="697"/>
      <c r="K304" s="606"/>
      <c r="L304" s="606"/>
      <c r="M304" s="606"/>
      <c r="N304" s="606"/>
      <c r="O304" s="738"/>
      <c r="P304" s="738"/>
      <c r="Q304" s="738"/>
      <c r="R304" s="738"/>
      <c r="S304" s="697"/>
    </row>
    <row r="305" spans="1:19" hidden="1">
      <c r="A305" s="921" t="s">
        <v>411</v>
      </c>
      <c r="B305" s="922" t="s">
        <v>412</v>
      </c>
      <c r="C305" s="922">
        <v>18327</v>
      </c>
      <c r="D305" s="924">
        <v>604.76</v>
      </c>
      <c r="E305" s="712">
        <f t="shared" si="14"/>
        <v>85.057665260196899</v>
      </c>
      <c r="F305" s="920">
        <f t="shared" si="15"/>
        <v>85.057665260196899</v>
      </c>
      <c r="G305" s="606"/>
      <c r="H305" s="606"/>
      <c r="I305" s="606"/>
      <c r="J305" s="697"/>
      <c r="K305" s="606"/>
      <c r="L305" s="606"/>
      <c r="M305" s="606"/>
      <c r="N305" s="606"/>
      <c r="O305" s="738"/>
      <c r="P305" s="738"/>
      <c r="Q305" s="738"/>
      <c r="R305" s="738"/>
      <c r="S305" s="697"/>
    </row>
    <row r="306" spans="1:19" hidden="1">
      <c r="A306" s="921" t="s">
        <v>413</v>
      </c>
      <c r="B306" s="922" t="s">
        <v>412</v>
      </c>
      <c r="C306" s="922">
        <v>11664</v>
      </c>
      <c r="D306" s="924">
        <v>384.82</v>
      </c>
      <c r="E306" s="712">
        <f t="shared" si="14"/>
        <v>54.123769338959207</v>
      </c>
      <c r="F306" s="920">
        <f t="shared" si="15"/>
        <v>54.123769338959207</v>
      </c>
      <c r="G306" s="606"/>
      <c r="H306" s="606"/>
      <c r="I306" s="606"/>
      <c r="J306" s="697"/>
      <c r="K306" s="606"/>
      <c r="L306" s="606"/>
      <c r="M306" s="606"/>
      <c r="N306" s="606"/>
      <c r="O306" s="738"/>
      <c r="P306" s="738"/>
      <c r="Q306" s="738"/>
      <c r="R306" s="738"/>
      <c r="S306" s="697"/>
    </row>
    <row r="307" spans="1:19" ht="18" customHeight="1">
      <c r="A307" s="606" t="s">
        <v>66</v>
      </c>
      <c r="B307" s="782" t="s">
        <v>473</v>
      </c>
      <c r="C307" s="782" t="s">
        <v>474</v>
      </c>
      <c r="D307" s="712">
        <f>'[2]总投资-发采购-0411-GLP拆分场外费用(司调)'!G251</f>
        <v>3364</v>
      </c>
      <c r="E307" s="712">
        <f t="shared" si="14"/>
        <v>473.1364275668073</v>
      </c>
      <c r="F307" s="920">
        <v>1</v>
      </c>
      <c r="G307" s="780" t="s">
        <v>427</v>
      </c>
      <c r="H307" s="606" t="s">
        <v>30</v>
      </c>
      <c r="I307" s="606">
        <v>48</v>
      </c>
      <c r="J307" s="781" t="s">
        <v>180</v>
      </c>
      <c r="K307" s="606"/>
      <c r="L307" s="780"/>
      <c r="M307" s="606"/>
      <c r="N307" s="606"/>
      <c r="O307" s="738" t="s">
        <v>369</v>
      </c>
      <c r="P307" s="738" t="s">
        <v>337</v>
      </c>
      <c r="Q307" s="738" t="s">
        <v>337</v>
      </c>
      <c r="R307" s="738" t="s">
        <v>475</v>
      </c>
      <c r="S307" s="697"/>
    </row>
    <row r="308" spans="1:19" ht="34.049999999999997" customHeight="1">
      <c r="A308" s="606" t="s">
        <v>69</v>
      </c>
      <c r="B308" s="782" t="s">
        <v>476</v>
      </c>
      <c r="C308" s="709" t="s">
        <v>477</v>
      </c>
      <c r="D308" s="712">
        <f>'[2]总投资-发采购-0411-GLP拆分场外费用(司调)'!G287</f>
        <v>4000</v>
      </c>
      <c r="E308" s="712">
        <f t="shared" si="14"/>
        <v>562.5879043600562</v>
      </c>
      <c r="F308" s="920">
        <v>1</v>
      </c>
      <c r="G308" s="780" t="s">
        <v>427</v>
      </c>
      <c r="H308" s="606" t="s">
        <v>30</v>
      </c>
      <c r="I308" s="606">
        <v>48</v>
      </c>
      <c r="J308" s="781" t="s">
        <v>180</v>
      </c>
      <c r="K308" s="606"/>
      <c r="L308" s="780"/>
      <c r="M308" s="606"/>
      <c r="N308" s="606"/>
      <c r="O308" s="738" t="s">
        <v>369</v>
      </c>
      <c r="P308" s="738" t="s">
        <v>337</v>
      </c>
      <c r="Q308" s="738" t="s">
        <v>337</v>
      </c>
      <c r="R308" s="738" t="s">
        <v>475</v>
      </c>
      <c r="S308" s="697"/>
    </row>
    <row r="309" spans="1:19" hidden="1">
      <c r="A309" s="775"/>
      <c r="B309" s="922">
        <v>4.2</v>
      </c>
      <c r="C309" s="922" t="s">
        <v>478</v>
      </c>
      <c r="D309" s="924">
        <f>[2]总投资20240410!F355</f>
        <v>4000</v>
      </c>
      <c r="E309" s="712"/>
      <c r="F309" s="920"/>
      <c r="G309" s="606"/>
      <c r="H309" s="606"/>
      <c r="I309" s="606"/>
      <c r="J309" s="697"/>
      <c r="K309" s="606"/>
      <c r="L309" s="606"/>
      <c r="M309" s="606"/>
      <c r="N309" s="606"/>
      <c r="O309" s="738"/>
      <c r="P309" s="738"/>
      <c r="Q309" s="738"/>
      <c r="R309" s="738"/>
      <c r="S309" s="697"/>
    </row>
    <row r="310" spans="1:19" ht="45" customHeight="1">
      <c r="A310" s="606" t="s">
        <v>72</v>
      </c>
      <c r="B310" s="782" t="s">
        <v>479</v>
      </c>
      <c r="C310" s="782" t="s">
        <v>480</v>
      </c>
      <c r="D310" s="712">
        <f>'[2]总投资-发采购-0411-GLP拆分场外费用(司调)'!G288</f>
        <v>18818.98</v>
      </c>
      <c r="E310" s="712">
        <f>D310/$A$3</f>
        <v>2646.8326300984527</v>
      </c>
      <c r="F310" s="920">
        <v>1</v>
      </c>
      <c r="G310" s="606" t="s">
        <v>400</v>
      </c>
      <c r="H310" s="606" t="s">
        <v>79</v>
      </c>
      <c r="I310" s="606">
        <v>42</v>
      </c>
      <c r="J310" s="781" t="s">
        <v>180</v>
      </c>
      <c r="K310" s="606" t="s">
        <v>135</v>
      </c>
      <c r="L310" s="606"/>
      <c r="M310" s="606"/>
      <c r="N310" s="606"/>
      <c r="O310" s="738" t="s">
        <v>181</v>
      </c>
      <c r="P310" s="738" t="s">
        <v>428</v>
      </c>
      <c r="Q310" s="738" t="s">
        <v>429</v>
      </c>
      <c r="R310" s="738" t="s">
        <v>228</v>
      </c>
      <c r="S310" s="697"/>
    </row>
    <row r="311" spans="1:19" hidden="1">
      <c r="A311" s="949">
        <v>4.3</v>
      </c>
      <c r="B311" s="925" t="s">
        <v>479</v>
      </c>
      <c r="C311" s="925"/>
      <c r="D311" s="924">
        <f>'[2]总投资-发采购-0411-GLP拆分场外费用(司调)'!G288</f>
        <v>18818.98</v>
      </c>
      <c r="E311" s="712">
        <f>D311/$A$3</f>
        <v>2646.8326300984527</v>
      </c>
      <c r="F311" s="920">
        <f>E311</f>
        <v>2646.8326300984527</v>
      </c>
      <c r="G311" s="606"/>
      <c r="H311" s="606"/>
      <c r="I311" s="606"/>
      <c r="J311" s="697"/>
      <c r="K311" s="606"/>
      <c r="L311" s="606"/>
      <c r="M311" s="606"/>
      <c r="N311" s="606"/>
      <c r="O311" s="738"/>
      <c r="P311" s="738"/>
      <c r="Q311" s="738"/>
      <c r="R311" s="738"/>
      <c r="S311" s="697"/>
    </row>
    <row r="312" spans="1:19" hidden="1">
      <c r="A312" s="949" t="s">
        <v>481</v>
      </c>
      <c r="B312" s="925" t="s">
        <v>482</v>
      </c>
      <c r="C312" s="925"/>
      <c r="D312" s="924">
        <f>'[2]总投资-发采购-0411-GLP拆分场外费用(司调)'!G289</f>
        <v>3355</v>
      </c>
      <c r="E312" s="712">
        <f t="shared" ref="E312:E323" si="16">D312/$A$3</f>
        <v>471.87060478199714</v>
      </c>
      <c r="F312" s="920">
        <f t="shared" ref="F312:F323" si="17">E312</f>
        <v>471.87060478199714</v>
      </c>
      <c r="G312" s="606"/>
      <c r="H312" s="606"/>
      <c r="I312" s="606"/>
      <c r="J312" s="697"/>
      <c r="K312" s="606"/>
      <c r="L312" s="606"/>
      <c r="M312" s="606"/>
      <c r="N312" s="606"/>
      <c r="O312" s="738"/>
      <c r="P312" s="738"/>
      <c r="Q312" s="738"/>
      <c r="R312" s="738"/>
      <c r="S312" s="697"/>
    </row>
    <row r="313" spans="1:19" hidden="1">
      <c r="A313" s="949" t="s">
        <v>483</v>
      </c>
      <c r="B313" s="925" t="s">
        <v>484</v>
      </c>
      <c r="C313" s="925"/>
      <c r="D313" s="924">
        <f>'[2]总投资-发采购-0411-GLP拆分场外费用(司调)'!G290</f>
        <v>920</v>
      </c>
      <c r="E313" s="712">
        <f t="shared" si="16"/>
        <v>129.39521800281292</v>
      </c>
      <c r="F313" s="920">
        <f t="shared" si="17"/>
        <v>129.39521800281292</v>
      </c>
      <c r="G313" s="606"/>
      <c r="H313" s="606"/>
      <c r="I313" s="606"/>
      <c r="J313" s="697"/>
      <c r="K313" s="606"/>
      <c r="L313" s="606"/>
      <c r="M313" s="606"/>
      <c r="N313" s="606"/>
      <c r="O313" s="738"/>
      <c r="P313" s="738"/>
      <c r="Q313" s="738"/>
      <c r="R313" s="738"/>
      <c r="S313" s="697"/>
    </row>
    <row r="314" spans="1:19" hidden="1">
      <c r="A314" s="949" t="s">
        <v>485</v>
      </c>
      <c r="B314" s="925" t="s">
        <v>486</v>
      </c>
      <c r="C314" s="925"/>
      <c r="D314" s="924">
        <f>'[2]总投资-发采购-0411-GLP拆分场外费用(司调)'!G291</f>
        <v>3160</v>
      </c>
      <c r="E314" s="712">
        <f t="shared" si="16"/>
        <v>444.4444444444444</v>
      </c>
      <c r="F314" s="920">
        <f t="shared" si="17"/>
        <v>444.4444444444444</v>
      </c>
      <c r="G314" s="606"/>
      <c r="H314" s="606"/>
      <c r="I314" s="606"/>
      <c r="J314" s="697"/>
      <c r="K314" s="606"/>
      <c r="L314" s="606"/>
      <c r="M314" s="606"/>
      <c r="N314" s="606"/>
      <c r="O314" s="738"/>
      <c r="P314" s="738"/>
      <c r="Q314" s="738"/>
      <c r="R314" s="738"/>
      <c r="S314" s="697"/>
    </row>
    <row r="315" spans="1:19" hidden="1">
      <c r="A315" s="949" t="s">
        <v>487</v>
      </c>
      <c r="B315" s="925" t="s">
        <v>488</v>
      </c>
      <c r="C315" s="925"/>
      <c r="D315" s="924">
        <f>'[2]总投资-发采购-0411-GLP拆分场外费用(司调)'!G292</f>
        <v>2100</v>
      </c>
      <c r="E315" s="712">
        <f t="shared" si="16"/>
        <v>295.35864978902953</v>
      </c>
      <c r="F315" s="920">
        <f t="shared" si="17"/>
        <v>295.35864978902953</v>
      </c>
      <c r="G315" s="606"/>
      <c r="H315" s="606"/>
      <c r="I315" s="606"/>
      <c r="J315" s="697"/>
      <c r="K315" s="606"/>
      <c r="L315" s="606"/>
      <c r="M315" s="606"/>
      <c r="N315" s="606"/>
      <c r="O315" s="738"/>
      <c r="P315" s="738"/>
      <c r="Q315" s="738"/>
      <c r="R315" s="738"/>
      <c r="S315" s="697"/>
    </row>
    <row r="316" spans="1:19" hidden="1">
      <c r="A316" s="949" t="s">
        <v>489</v>
      </c>
      <c r="B316" s="925" t="s">
        <v>490</v>
      </c>
      <c r="C316" s="925"/>
      <c r="D316" s="924">
        <f>'[2]总投资-发采购-0411-GLP拆分场外费用(司调)'!G293</f>
        <v>341.9</v>
      </c>
      <c r="E316" s="712">
        <f t="shared" si="16"/>
        <v>48.087201125175802</v>
      </c>
      <c r="F316" s="920">
        <f t="shared" si="17"/>
        <v>48.087201125175802</v>
      </c>
      <c r="G316" s="606"/>
      <c r="H316" s="606"/>
      <c r="I316" s="606"/>
      <c r="J316" s="697"/>
      <c r="K316" s="606"/>
      <c r="L316" s="606"/>
      <c r="M316" s="606"/>
      <c r="N316" s="606"/>
      <c r="O316" s="738"/>
      <c r="P316" s="738"/>
      <c r="Q316" s="738"/>
      <c r="R316" s="738"/>
      <c r="S316" s="697"/>
    </row>
    <row r="317" spans="1:19" hidden="1">
      <c r="A317" s="949" t="s">
        <v>491</v>
      </c>
      <c r="B317" s="925" t="s">
        <v>492</v>
      </c>
      <c r="C317" s="925"/>
      <c r="D317" s="924">
        <f>'[2]总投资-发采购-0411-GLP拆分场外费用(司调)'!G294</f>
        <v>656.15</v>
      </c>
      <c r="E317" s="712">
        <f t="shared" si="16"/>
        <v>92.285513361462719</v>
      </c>
      <c r="F317" s="920">
        <f t="shared" si="17"/>
        <v>92.285513361462719</v>
      </c>
      <c r="G317" s="606"/>
      <c r="H317" s="606"/>
      <c r="I317" s="606"/>
      <c r="J317" s="697"/>
      <c r="K317" s="606"/>
      <c r="L317" s="606"/>
      <c r="M317" s="606"/>
      <c r="N317" s="606"/>
      <c r="O317" s="738"/>
      <c r="P317" s="738"/>
      <c r="Q317" s="738"/>
      <c r="R317" s="738"/>
      <c r="S317" s="697"/>
    </row>
    <row r="318" spans="1:19" hidden="1">
      <c r="A318" s="949" t="s">
        <v>493</v>
      </c>
      <c r="B318" s="925" t="s">
        <v>494</v>
      </c>
      <c r="C318" s="925"/>
      <c r="D318" s="924">
        <f>'[2]总投资-发采购-0411-GLP拆分场外费用(司调)'!G295</f>
        <v>355.67</v>
      </c>
      <c r="E318" s="712">
        <f t="shared" si="16"/>
        <v>50.023909985935305</v>
      </c>
      <c r="F318" s="920">
        <f t="shared" si="17"/>
        <v>50.023909985935305</v>
      </c>
      <c r="G318" s="606"/>
      <c r="H318" s="606"/>
      <c r="I318" s="606"/>
      <c r="J318" s="697"/>
      <c r="K318" s="606"/>
      <c r="L318" s="606"/>
      <c r="M318" s="606"/>
      <c r="N318" s="606"/>
      <c r="O318" s="738"/>
      <c r="P318" s="738"/>
      <c r="Q318" s="738"/>
      <c r="R318" s="738"/>
      <c r="S318" s="697"/>
    </row>
    <row r="319" spans="1:19" ht="26.4" hidden="1">
      <c r="A319" s="949" t="s">
        <v>495</v>
      </c>
      <c r="B319" s="925" t="s">
        <v>496</v>
      </c>
      <c r="C319" s="925"/>
      <c r="D319" s="924">
        <f>'[2]总投资-发采购-0411-GLP拆分场外费用(司调)'!G296</f>
        <v>211.46</v>
      </c>
      <c r="E319" s="712">
        <f t="shared" si="16"/>
        <v>29.741209563994374</v>
      </c>
      <c r="F319" s="920">
        <f t="shared" si="17"/>
        <v>29.741209563994374</v>
      </c>
      <c r="G319" s="606"/>
      <c r="H319" s="606"/>
      <c r="I319" s="606"/>
      <c r="J319" s="697"/>
      <c r="K319" s="606"/>
      <c r="L319" s="606"/>
      <c r="M319" s="606"/>
      <c r="N319" s="606"/>
      <c r="O319" s="738"/>
      <c r="P319" s="738"/>
      <c r="Q319" s="738"/>
      <c r="R319" s="738"/>
      <c r="S319" s="697"/>
    </row>
    <row r="320" spans="1:19" hidden="1">
      <c r="A320" s="949" t="s">
        <v>497</v>
      </c>
      <c r="B320" s="925" t="s">
        <v>498</v>
      </c>
      <c r="C320" s="925"/>
      <c r="D320" s="924">
        <f>'[2]总投资-发采购-0411-GLP拆分场外费用(司调)'!G297</f>
        <v>33.6</v>
      </c>
      <c r="E320" s="712">
        <f t="shared" si="16"/>
        <v>4.7257383966244726</v>
      </c>
      <c r="F320" s="920">
        <f t="shared" si="17"/>
        <v>4.7257383966244726</v>
      </c>
      <c r="G320" s="606"/>
      <c r="H320" s="606"/>
      <c r="I320" s="606"/>
      <c r="J320" s="697"/>
      <c r="K320" s="606"/>
      <c r="L320" s="606"/>
      <c r="M320" s="606"/>
      <c r="N320" s="606"/>
      <c r="O320" s="738"/>
      <c r="P320" s="738"/>
      <c r="Q320" s="738"/>
      <c r="R320" s="738"/>
      <c r="S320" s="697"/>
    </row>
    <row r="321" spans="1:19" hidden="1">
      <c r="A321" s="949" t="s">
        <v>499</v>
      </c>
      <c r="B321" s="925" t="s">
        <v>500</v>
      </c>
      <c r="C321" s="925"/>
      <c r="D321" s="924">
        <f>'[2]总投资-发采购-0411-GLP拆分场外费用(司调)'!G298</f>
        <v>333.3</v>
      </c>
      <c r="E321" s="712">
        <f t="shared" si="16"/>
        <v>46.877637130801688</v>
      </c>
      <c r="F321" s="920">
        <f t="shared" si="17"/>
        <v>46.877637130801688</v>
      </c>
      <c r="G321" s="606"/>
      <c r="H321" s="606"/>
      <c r="I321" s="606"/>
      <c r="J321" s="697"/>
      <c r="K321" s="606"/>
      <c r="L321" s="606"/>
      <c r="M321" s="606"/>
      <c r="N321" s="606"/>
      <c r="O321" s="738"/>
      <c r="P321" s="738"/>
      <c r="Q321" s="738"/>
      <c r="R321" s="738"/>
      <c r="S321" s="697"/>
    </row>
    <row r="322" spans="1:19" hidden="1">
      <c r="A322" s="949" t="s">
        <v>501</v>
      </c>
      <c r="B322" s="925" t="s">
        <v>502</v>
      </c>
      <c r="C322" s="925"/>
      <c r="D322" s="924">
        <f>'[2]总投资-发采购-0411-GLP拆分场外费用(司调)'!G299</f>
        <v>7000</v>
      </c>
      <c r="E322" s="712">
        <f t="shared" si="16"/>
        <v>984.52883263009846</v>
      </c>
      <c r="F322" s="920">
        <f t="shared" si="17"/>
        <v>984.52883263009846</v>
      </c>
      <c r="G322" s="606"/>
      <c r="H322" s="606"/>
      <c r="I322" s="606"/>
      <c r="J322" s="697"/>
      <c r="K322" s="606"/>
      <c r="L322" s="606"/>
      <c r="M322" s="606"/>
      <c r="N322" s="606"/>
      <c r="O322" s="738"/>
      <c r="P322" s="738"/>
      <c r="Q322" s="738"/>
      <c r="R322" s="738"/>
      <c r="S322" s="697"/>
    </row>
    <row r="323" spans="1:19" hidden="1">
      <c r="A323" s="949" t="s">
        <v>503</v>
      </c>
      <c r="B323" s="925" t="s">
        <v>504</v>
      </c>
      <c r="C323" s="925"/>
      <c r="D323" s="924">
        <f>'[2]总投资-发采购-0411-GLP拆分场外费用(司调)'!G300</f>
        <v>351.9</v>
      </c>
      <c r="E323" s="712">
        <f t="shared" si="16"/>
        <v>49.493670886075947</v>
      </c>
      <c r="F323" s="920">
        <f t="shared" si="17"/>
        <v>49.493670886075947</v>
      </c>
      <c r="G323" s="606"/>
      <c r="H323" s="606"/>
      <c r="I323" s="606"/>
      <c r="J323" s="697"/>
      <c r="K323" s="606"/>
      <c r="L323" s="606"/>
      <c r="M323" s="606"/>
      <c r="N323" s="606"/>
      <c r="O323" s="738"/>
      <c r="P323" s="738"/>
      <c r="Q323" s="738"/>
      <c r="R323" s="738"/>
      <c r="S323" s="697"/>
    </row>
    <row r="324" spans="1:19" hidden="1">
      <c r="A324" s="1081" t="s">
        <v>505</v>
      </c>
      <c r="B324" s="1076"/>
      <c r="C324" s="1077"/>
      <c r="D324" s="713">
        <f>SUM(D244,D262,D263,D275,D307,D308,D310)</f>
        <v>78732.785499999998</v>
      </c>
      <c r="E324" s="713">
        <f>SUM(E244,E262,E263,E275,E308,E307,E310)</f>
        <v>11073.528199718705</v>
      </c>
      <c r="F324" s="932">
        <v>1</v>
      </c>
      <c r="G324" s="606"/>
      <c r="H324" s="606"/>
      <c r="I324" s="606"/>
      <c r="J324" s="697"/>
      <c r="K324" s="606"/>
      <c r="L324" s="606"/>
      <c r="M324" s="606"/>
      <c r="N324" s="606"/>
      <c r="O324" s="738"/>
      <c r="P324" s="738"/>
      <c r="Q324" s="738"/>
      <c r="R324" s="738"/>
      <c r="S324" s="697"/>
    </row>
    <row r="325" spans="1:19">
      <c r="A325" s="756" t="s">
        <v>506</v>
      </c>
      <c r="B325" s="774" t="s">
        <v>507</v>
      </c>
      <c r="C325" s="680"/>
      <c r="D325" s="681"/>
      <c r="E325" s="682"/>
      <c r="F325" s="965"/>
      <c r="G325" s="680"/>
      <c r="H325" s="680"/>
      <c r="I325" s="680"/>
      <c r="J325" s="680"/>
      <c r="K325" s="680"/>
      <c r="L325" s="680"/>
      <c r="M325" s="680"/>
      <c r="N325" s="680"/>
      <c r="O325" s="680"/>
      <c r="P325" s="680"/>
      <c r="Q325" s="705"/>
      <c r="R325" s="680"/>
      <c r="S325" s="706"/>
    </row>
    <row r="326" spans="1:19" ht="14.55" customHeight="1">
      <c r="A326" s="749" t="s">
        <v>85</v>
      </c>
      <c r="B326" s="790" t="s">
        <v>508</v>
      </c>
      <c r="C326" s="789" t="s">
        <v>509</v>
      </c>
      <c r="D326" s="792">
        <f>'[2]总投资-发采购-0411-GLP拆分场外费用(司调)'!G333</f>
        <v>1000</v>
      </c>
      <c r="E326" s="792">
        <f>D326/$A$3</f>
        <v>140.64697609001405</v>
      </c>
      <c r="F326" s="962">
        <v>1</v>
      </c>
      <c r="G326" s="797" t="s">
        <v>510</v>
      </c>
      <c r="H326" s="952" t="s">
        <v>89</v>
      </c>
      <c r="I326" s="952">
        <v>48</v>
      </c>
      <c r="J326" s="953" t="s">
        <v>401</v>
      </c>
      <c r="K326" s="749"/>
      <c r="L326" s="749"/>
      <c r="M326" s="749"/>
      <c r="N326" s="749"/>
      <c r="O326" s="755" t="s">
        <v>369</v>
      </c>
      <c r="P326" s="755" t="s">
        <v>337</v>
      </c>
      <c r="Q326" s="755" t="s">
        <v>338</v>
      </c>
      <c r="R326" s="755">
        <v>2028.12</v>
      </c>
      <c r="S326" s="754"/>
    </row>
    <row r="327" spans="1:19" ht="16.05" customHeight="1">
      <c r="A327" s="749" t="s">
        <v>511</v>
      </c>
      <c r="B327" s="790" t="s">
        <v>512</v>
      </c>
      <c r="C327" s="790" t="s">
        <v>513</v>
      </c>
      <c r="D327" s="792">
        <f>'[2]总投资-发采购-0411-GLP拆分场外费用(司调)'!G334</f>
        <v>1000</v>
      </c>
      <c r="E327" s="792">
        <f>D327/$A$3</f>
        <v>140.64697609001405</v>
      </c>
      <c r="F327" s="962">
        <v>1</v>
      </c>
      <c r="G327" s="797" t="s">
        <v>510</v>
      </c>
      <c r="H327" s="952" t="s">
        <v>89</v>
      </c>
      <c r="I327" s="952">
        <v>48</v>
      </c>
      <c r="J327" s="953" t="s">
        <v>401</v>
      </c>
      <c r="K327" s="749"/>
      <c r="L327" s="749"/>
      <c r="M327" s="749"/>
      <c r="N327" s="749"/>
      <c r="O327" s="755" t="s">
        <v>369</v>
      </c>
      <c r="P327" s="755" t="s">
        <v>337</v>
      </c>
      <c r="Q327" s="755" t="s">
        <v>338</v>
      </c>
      <c r="R327" s="755">
        <v>2028.12</v>
      </c>
      <c r="S327" s="754"/>
    </row>
    <row r="328" spans="1:19">
      <c r="A328" s="606" t="s">
        <v>514</v>
      </c>
      <c r="B328" s="782" t="s">
        <v>515</v>
      </c>
      <c r="C328" s="709" t="s">
        <v>516</v>
      </c>
      <c r="D328" s="712">
        <f>'[2]总投资-发采购-0411-GLP拆分场外费用(司调)'!G331</f>
        <v>761</v>
      </c>
      <c r="E328" s="712">
        <f>D328/$A$3</f>
        <v>107.0323488045007</v>
      </c>
      <c r="F328" s="920">
        <v>1</v>
      </c>
      <c r="G328" s="780" t="s">
        <v>510</v>
      </c>
      <c r="H328" s="606" t="s">
        <v>89</v>
      </c>
      <c r="I328" s="606">
        <v>42</v>
      </c>
      <c r="J328" s="781" t="s">
        <v>180</v>
      </c>
      <c r="K328" s="606"/>
      <c r="L328" s="780"/>
      <c r="M328" s="606"/>
      <c r="N328" s="606"/>
      <c r="O328" s="738" t="s">
        <v>181</v>
      </c>
      <c r="P328" s="738" t="s">
        <v>428</v>
      </c>
      <c r="Q328" s="738" t="s">
        <v>517</v>
      </c>
      <c r="R328" s="738">
        <v>2028.12</v>
      </c>
      <c r="S328" s="697"/>
    </row>
    <row r="329" spans="1:19">
      <c r="A329" s="606" t="s">
        <v>91</v>
      </c>
      <c r="B329" s="709" t="s">
        <v>518</v>
      </c>
      <c r="C329" s="782" t="s">
        <v>519</v>
      </c>
      <c r="D329" s="712">
        <f>'[2]总投资-发采购-0411-GLP拆分场外费用(司调)'!G332</f>
        <v>116</v>
      </c>
      <c r="E329" s="712">
        <f t="shared" ref="E329:E333" si="18">D329/$A$3</f>
        <v>16.31504922644163</v>
      </c>
      <c r="F329" s="920">
        <v>1</v>
      </c>
      <c r="G329" s="780" t="s">
        <v>510</v>
      </c>
      <c r="H329" s="606" t="s">
        <v>97</v>
      </c>
      <c r="I329" s="606">
        <v>42</v>
      </c>
      <c r="J329" s="781" t="s">
        <v>336</v>
      </c>
      <c r="K329" s="606"/>
      <c r="L329" s="780"/>
      <c r="M329" s="606"/>
      <c r="N329" s="606"/>
      <c r="O329" s="738" t="s">
        <v>181</v>
      </c>
      <c r="P329" s="738" t="s">
        <v>428</v>
      </c>
      <c r="Q329" s="738" t="s">
        <v>517</v>
      </c>
      <c r="R329" s="738">
        <v>2028.12</v>
      </c>
      <c r="S329" s="697"/>
    </row>
    <row r="330" spans="1:19" ht="24">
      <c r="A330" s="606" t="s">
        <v>94</v>
      </c>
      <c r="B330" s="782" t="s">
        <v>520</v>
      </c>
      <c r="C330" s="782" t="s">
        <v>520</v>
      </c>
      <c r="D330" s="712">
        <v>350</v>
      </c>
      <c r="E330" s="712">
        <f t="shared" si="18"/>
        <v>49.226441631504919</v>
      </c>
      <c r="F330" s="920">
        <v>1</v>
      </c>
      <c r="G330" s="780" t="s">
        <v>510</v>
      </c>
      <c r="H330" s="606" t="s">
        <v>97</v>
      </c>
      <c r="I330" s="606">
        <v>24</v>
      </c>
      <c r="J330" s="781" t="s">
        <v>336</v>
      </c>
      <c r="K330" s="606"/>
      <c r="L330" s="781"/>
      <c r="M330" s="606"/>
      <c r="N330" s="606"/>
      <c r="O330" s="738" t="s">
        <v>181</v>
      </c>
      <c r="P330" s="738" t="s">
        <v>428</v>
      </c>
      <c r="Q330" s="738" t="s">
        <v>517</v>
      </c>
      <c r="R330" s="738" t="s">
        <v>228</v>
      </c>
      <c r="S330" s="697"/>
    </row>
    <row r="331" spans="1:19">
      <c r="A331" s="606" t="s">
        <v>98</v>
      </c>
      <c r="B331" s="966" t="s">
        <v>521</v>
      </c>
      <c r="C331" s="967" t="s">
        <v>521</v>
      </c>
      <c r="D331" s="712">
        <v>350</v>
      </c>
      <c r="E331" s="712">
        <f t="shared" si="18"/>
        <v>49.226441631504919</v>
      </c>
      <c r="F331" s="920">
        <v>1</v>
      </c>
      <c r="G331" s="780" t="s">
        <v>510</v>
      </c>
      <c r="H331" s="606" t="s">
        <v>97</v>
      </c>
      <c r="I331" s="606">
        <v>24</v>
      </c>
      <c r="J331" s="781" t="s">
        <v>336</v>
      </c>
      <c r="K331" s="606"/>
      <c r="L331" s="781"/>
      <c r="M331" s="606"/>
      <c r="N331" s="606"/>
      <c r="O331" s="738" t="s">
        <v>181</v>
      </c>
      <c r="P331" s="738" t="s">
        <v>428</v>
      </c>
      <c r="Q331" s="738" t="s">
        <v>517</v>
      </c>
      <c r="R331" s="738" t="s">
        <v>228</v>
      </c>
      <c r="S331" s="697"/>
    </row>
    <row r="332" spans="1:19">
      <c r="A332" s="606" t="s">
        <v>100</v>
      </c>
      <c r="B332" s="966" t="s">
        <v>522</v>
      </c>
      <c r="C332" s="967" t="s">
        <v>522</v>
      </c>
      <c r="D332" s="712">
        <v>300</v>
      </c>
      <c r="E332" s="712">
        <f t="shared" si="18"/>
        <v>42.194092827004219</v>
      </c>
      <c r="F332" s="920">
        <v>1</v>
      </c>
      <c r="G332" s="780" t="s">
        <v>510</v>
      </c>
      <c r="H332" s="606" t="s">
        <v>97</v>
      </c>
      <c r="I332" s="606">
        <v>24</v>
      </c>
      <c r="J332" s="781" t="s">
        <v>336</v>
      </c>
      <c r="K332" s="606"/>
      <c r="L332" s="781"/>
      <c r="M332" s="606"/>
      <c r="N332" s="606"/>
      <c r="O332" s="738" t="s">
        <v>181</v>
      </c>
      <c r="P332" s="738" t="s">
        <v>428</v>
      </c>
      <c r="Q332" s="738" t="s">
        <v>517</v>
      </c>
      <c r="R332" s="738" t="s">
        <v>228</v>
      </c>
      <c r="S332" s="697"/>
    </row>
    <row r="333" spans="1:19">
      <c r="A333" s="1081" t="s">
        <v>505</v>
      </c>
      <c r="B333" s="1076"/>
      <c r="C333" s="1077"/>
      <c r="D333" s="713">
        <f>SUM(D326:D332)</f>
        <v>3877</v>
      </c>
      <c r="E333" s="713">
        <f t="shared" si="18"/>
        <v>545.28832630098452</v>
      </c>
      <c r="F333" s="932">
        <v>1</v>
      </c>
      <c r="G333" s="780"/>
      <c r="H333" s="606"/>
      <c r="I333" s="606"/>
      <c r="J333" s="697"/>
      <c r="K333" s="606"/>
      <c r="L333" s="606"/>
      <c r="M333" s="606"/>
      <c r="N333" s="606"/>
      <c r="O333" s="606"/>
      <c r="P333" s="606"/>
      <c r="Q333" s="738"/>
      <c r="R333" s="947"/>
      <c r="S333" s="697"/>
    </row>
    <row r="334" spans="1:19">
      <c r="A334" s="606"/>
      <c r="B334" s="922"/>
      <c r="C334" s="922"/>
      <c r="D334" s="712"/>
      <c r="E334" s="712"/>
      <c r="F334" s="920"/>
      <c r="G334" s="606"/>
      <c r="H334" s="606"/>
      <c r="I334" s="606"/>
      <c r="J334" s="697"/>
      <c r="K334" s="606"/>
      <c r="L334" s="606"/>
      <c r="M334" s="606"/>
      <c r="N334" s="606"/>
      <c r="O334" s="606"/>
      <c r="P334" s="606"/>
      <c r="Q334" s="738"/>
      <c r="R334" s="947"/>
      <c r="S334" s="697"/>
    </row>
    <row r="335" spans="1:19">
      <c r="A335" s="1082" t="s">
        <v>523</v>
      </c>
      <c r="B335" s="1083"/>
      <c r="C335" s="1084"/>
      <c r="D335" s="759">
        <f>SUM(D211,D242,D324,D333)</f>
        <v>285045.69573175302</v>
      </c>
      <c r="E335" s="759">
        <f>D335/A3</f>
        <v>40090.815152145289</v>
      </c>
      <c r="F335" s="951">
        <v>1</v>
      </c>
      <c r="G335" s="706"/>
      <c r="H335" s="706"/>
      <c r="I335" s="706"/>
      <c r="J335" s="765"/>
      <c r="K335" s="706"/>
      <c r="L335" s="706"/>
      <c r="M335" s="706"/>
      <c r="N335" s="706"/>
      <c r="O335" s="706"/>
      <c r="P335" s="706"/>
      <c r="Q335" s="767"/>
      <c r="R335" s="954"/>
      <c r="S335" s="765"/>
    </row>
    <row r="337" spans="3:5">
      <c r="C337" s="760" t="s">
        <v>524</v>
      </c>
      <c r="D337" s="664">
        <f>SUM(D7,D30,D44,D74,D117,D157,D210,D213,D244,D262)</f>
        <v>242748.76023175303</v>
      </c>
      <c r="E337" s="664">
        <f>D337/7.11</f>
        <v>34141.879076195924</v>
      </c>
    </row>
    <row r="338" spans="3:5">
      <c r="C338" s="760" t="s">
        <v>525</v>
      </c>
      <c r="D338" s="664">
        <f>D263+D275+D307+D308+D310</f>
        <v>38419.935499999992</v>
      </c>
      <c r="E338" s="664">
        <f t="shared" ref="E338:E340" si="19">D338/7.11</f>
        <v>5403.6477496483813</v>
      </c>
    </row>
    <row r="339" spans="3:5">
      <c r="C339" s="760" t="s">
        <v>526</v>
      </c>
      <c r="D339" s="664">
        <f>D333</f>
        <v>3877</v>
      </c>
      <c r="E339" s="664">
        <f t="shared" si="19"/>
        <v>545.28832630098452</v>
      </c>
    </row>
    <row r="340" spans="3:5">
      <c r="C340" s="760"/>
      <c r="D340" s="761">
        <f>SUM(D337:D339)</f>
        <v>285045.69573175302</v>
      </c>
      <c r="E340" s="761">
        <f t="shared" si="19"/>
        <v>40090.815152145289</v>
      </c>
    </row>
    <row r="341" spans="3:5">
      <c r="C341" s="760"/>
      <c r="D341" s="664"/>
    </row>
    <row r="343" spans="3:5">
      <c r="C343" s="801"/>
    </row>
    <row r="344" spans="3:5">
      <c r="C344" s="760"/>
      <c r="D344" s="664"/>
    </row>
    <row r="345" spans="3:5">
      <c r="C345" s="760"/>
      <c r="D345" s="664"/>
    </row>
    <row r="346" spans="3:5">
      <c r="C346" s="760"/>
      <c r="D346" s="664"/>
    </row>
    <row r="347" spans="3:5">
      <c r="C347" s="760"/>
      <c r="D347" s="664"/>
    </row>
    <row r="348" spans="3:5">
      <c r="C348" s="760"/>
      <c r="D348" s="664"/>
    </row>
    <row r="349" spans="3:5">
      <c r="C349" s="760"/>
      <c r="D349" s="761"/>
    </row>
    <row r="350" spans="3:5">
      <c r="C350" s="760"/>
    </row>
    <row r="351" spans="3:5">
      <c r="C351" s="760"/>
    </row>
    <row r="352" spans="3:5">
      <c r="C352" s="760"/>
    </row>
    <row r="353" spans="3:3">
      <c r="C353" s="760"/>
    </row>
    <row r="354" spans="3:3">
      <c r="C354" s="760"/>
    </row>
  </sheetData>
  <mergeCells count="23">
    <mergeCell ref="M4:N5"/>
    <mergeCell ref="A324:C324"/>
    <mergeCell ref="A333:C333"/>
    <mergeCell ref="A335:C335"/>
    <mergeCell ref="A4:A5"/>
    <mergeCell ref="B4:B5"/>
    <mergeCell ref="C4:C5"/>
    <mergeCell ref="A1:S1"/>
    <mergeCell ref="D4:E4"/>
    <mergeCell ref="A211:C211"/>
    <mergeCell ref="B212:S212"/>
    <mergeCell ref="A242:C242"/>
    <mergeCell ref="G4:G5"/>
    <mergeCell ref="H4:H5"/>
    <mergeCell ref="I4:I5"/>
    <mergeCell ref="J4:J5"/>
    <mergeCell ref="K4:K5"/>
    <mergeCell ref="L4:L5"/>
    <mergeCell ref="O4:O5"/>
    <mergeCell ref="P4:P5"/>
    <mergeCell ref="Q4:Q5"/>
    <mergeCell ref="R4:R5"/>
    <mergeCell ref="S4:S5"/>
  </mergeCells>
  <conditionalFormatting sqref="A210:B210 B213:B241 A214:A241">
    <cfRule type="expression" dxfId="5" priority="1">
      <formula>AND(COUNTIF(#REF!,A210)+COUNTIF(#REF!,A210)&gt;1,NOT(ISBLANK(A210)))</formula>
    </cfRule>
  </conditionalFormatting>
  <printOptions horizontalCentered="1" verticalCentered="1"/>
  <pageMargins left="0.235416666666667" right="0.235416666666667" top="0.39305555555555599" bottom="0.39305555555555599" header="0.31388888888888899" footer="0.31388888888888899"/>
  <pageSetup paperSize="9" scale="5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54"/>
  <sheetViews>
    <sheetView zoomScale="93" zoomScaleNormal="93" workbookViewId="0">
      <pane xSplit="2" ySplit="6" topLeftCell="F310" activePane="bottomRight" state="frozen"/>
      <selection pane="topRight"/>
      <selection pane="bottomLeft"/>
      <selection pane="bottomRight" sqref="A1:P1"/>
    </sheetView>
  </sheetViews>
  <sheetFormatPr defaultColWidth="9" defaultRowHeight="14.4"/>
  <cols>
    <col min="1" max="1" width="14.88671875" style="662" customWidth="1"/>
    <col min="2" max="2" width="38" style="662" customWidth="1"/>
    <col min="3" max="3" width="89" style="662" customWidth="1"/>
    <col min="4" max="4" width="12.5546875" style="663" customWidth="1"/>
    <col min="5" max="5" width="10.77734375" style="664" customWidth="1"/>
    <col min="6" max="6" width="11.5546875" style="663" customWidth="1"/>
    <col min="7" max="7" width="12.5546875" style="663" hidden="1" customWidth="1"/>
    <col min="8" max="8" width="18" style="662" customWidth="1"/>
    <col min="9" max="9" width="13.33203125" style="662" customWidth="1"/>
    <col min="10" max="10" width="11.33203125" style="662" customWidth="1"/>
    <col min="11" max="11" width="13.109375" style="662" customWidth="1"/>
    <col min="12" max="12" width="8.88671875" style="662" customWidth="1"/>
    <col min="13" max="13" width="10.109375" style="662" customWidth="1"/>
    <col min="14" max="14" width="9.33203125" style="665" customWidth="1"/>
    <col min="15" max="15" width="8.5546875" style="662" customWidth="1"/>
    <col min="16" max="16" width="11.5546875" style="662" customWidth="1"/>
  </cols>
  <sheetData>
    <row r="1" spans="1:16" ht="17.399999999999999">
      <c r="A1" s="1100" t="s">
        <v>527</v>
      </c>
      <c r="B1" s="1100"/>
      <c r="C1" s="1101"/>
      <c r="D1" s="1101"/>
      <c r="E1" s="1101"/>
      <c r="F1" s="1101"/>
      <c r="G1" s="1101"/>
      <c r="H1" s="1101"/>
      <c r="I1" s="1101"/>
      <c r="J1" s="1101"/>
      <c r="K1" s="1101"/>
      <c r="L1" s="1101"/>
      <c r="M1" s="1101"/>
      <c r="N1" s="1101"/>
      <c r="O1" s="1101"/>
      <c r="P1" s="1101"/>
    </row>
    <row r="2" spans="1:16">
      <c r="A2" s="666" t="s">
        <v>1</v>
      </c>
      <c r="B2" s="667" t="s">
        <v>528</v>
      </c>
      <c r="C2" s="668"/>
      <c r="D2" s="669"/>
      <c r="F2" s="669"/>
      <c r="G2" s="669"/>
      <c r="H2" s="670"/>
      <c r="I2" s="670"/>
      <c r="J2" s="670"/>
      <c r="K2" s="670"/>
      <c r="L2" s="670"/>
      <c r="M2" s="670"/>
      <c r="N2" s="702"/>
      <c r="O2" s="670"/>
    </row>
    <row r="3" spans="1:16">
      <c r="A3" s="671">
        <v>7.11</v>
      </c>
      <c r="B3" s="672">
        <v>45394</v>
      </c>
      <c r="C3" s="673"/>
      <c r="D3" s="674"/>
      <c r="E3" s="675"/>
      <c r="F3" s="674"/>
      <c r="G3" s="674"/>
      <c r="H3" s="676"/>
      <c r="I3" s="676"/>
      <c r="J3" s="676"/>
      <c r="K3" s="676"/>
      <c r="L3" s="676"/>
      <c r="M3" s="676"/>
      <c r="N3" s="703"/>
      <c r="O3" s="676"/>
      <c r="P3" s="704"/>
    </row>
    <row r="4" spans="1:16" ht="26.25" customHeight="1">
      <c r="A4" s="1085" t="s">
        <v>5</v>
      </c>
      <c r="B4" s="1085" t="s">
        <v>6</v>
      </c>
      <c r="C4" s="1085" t="s">
        <v>529</v>
      </c>
      <c r="D4" s="1102" t="s">
        <v>530</v>
      </c>
      <c r="E4" s="1103"/>
      <c r="F4" s="1110" t="s">
        <v>531</v>
      </c>
      <c r="G4" s="1111"/>
      <c r="H4" s="1105" t="s">
        <v>532</v>
      </c>
      <c r="I4" s="1105" t="s">
        <v>11</v>
      </c>
      <c r="J4" s="1106" t="s">
        <v>533</v>
      </c>
      <c r="K4" s="1105" t="s">
        <v>534</v>
      </c>
      <c r="L4" s="1105" t="s">
        <v>535</v>
      </c>
      <c r="M4" s="1107" t="s">
        <v>536</v>
      </c>
      <c r="N4" s="1109" t="s">
        <v>537</v>
      </c>
      <c r="O4" s="1105" t="s">
        <v>538</v>
      </c>
      <c r="P4" s="1085" t="s">
        <v>20</v>
      </c>
    </row>
    <row r="5" spans="1:16">
      <c r="A5" s="1086"/>
      <c r="B5" s="1086"/>
      <c r="C5" s="1086"/>
      <c r="D5" s="677" t="s">
        <v>539</v>
      </c>
      <c r="E5" s="677" t="s">
        <v>540</v>
      </c>
      <c r="F5" s="1112"/>
      <c r="G5" s="1113"/>
      <c r="H5" s="1105"/>
      <c r="I5" s="1105"/>
      <c r="J5" s="1089"/>
      <c r="K5" s="1087"/>
      <c r="L5" s="1105"/>
      <c r="M5" s="1108"/>
      <c r="N5" s="1109"/>
      <c r="O5" s="1105"/>
      <c r="P5" s="1098"/>
    </row>
    <row r="6" spans="1:16" s="661" customFormat="1" ht="13.2">
      <c r="A6" s="917" t="s">
        <v>24</v>
      </c>
      <c r="B6" s="918" t="s">
        <v>25</v>
      </c>
      <c r="C6" s="680"/>
      <c r="D6" s="681"/>
      <c r="E6" s="682"/>
      <c r="F6" s="681"/>
      <c r="G6" s="681"/>
      <c r="H6" s="680"/>
      <c r="I6" s="680"/>
      <c r="J6" s="680"/>
      <c r="K6" s="680"/>
      <c r="L6" s="680"/>
      <c r="M6" s="680"/>
      <c r="N6" s="705"/>
      <c r="O6" s="680"/>
      <c r="P6" s="706"/>
    </row>
    <row r="7" spans="1:16" ht="26.4">
      <c r="A7" s="606" t="s">
        <v>130</v>
      </c>
      <c r="B7" s="919" t="s">
        <v>541</v>
      </c>
      <c r="C7" s="709" t="s">
        <v>542</v>
      </c>
      <c r="D7" s="710">
        <f>SUM(D8,D21,D29)</f>
        <v>6876.7533184221402</v>
      </c>
      <c r="E7" s="712">
        <f>D7/A3</f>
        <v>967.19455955304363</v>
      </c>
      <c r="F7" s="920">
        <v>1</v>
      </c>
      <c r="G7" s="712">
        <f>D7</f>
        <v>6876.7533184221402</v>
      </c>
      <c r="H7" s="606" t="s">
        <v>543</v>
      </c>
      <c r="I7" s="606" t="s">
        <v>30</v>
      </c>
      <c r="J7" s="606">
        <v>18</v>
      </c>
      <c r="K7" s="697" t="s">
        <v>544</v>
      </c>
      <c r="L7" s="738">
        <v>2025.3</v>
      </c>
      <c r="M7" s="738">
        <v>2025.4</v>
      </c>
      <c r="N7" s="738" t="s">
        <v>136</v>
      </c>
      <c r="O7" s="738" t="s">
        <v>137</v>
      </c>
      <c r="P7" s="697"/>
    </row>
    <row r="8" spans="1:16" hidden="1">
      <c r="A8" s="921">
        <v>1.1000000000000001</v>
      </c>
      <c r="B8" s="919" t="s">
        <v>545</v>
      </c>
      <c r="C8" s="922" t="s">
        <v>139</v>
      </c>
      <c r="D8" s="923">
        <f>'[2]总投资-发采购-0411-GLP拆分场外费用(司调)'!G7</f>
        <v>5931.3338184221402</v>
      </c>
      <c r="E8" s="924"/>
      <c r="F8" s="924">
        <f t="shared" ref="F8:F29" si="0">E8</f>
        <v>0</v>
      </c>
      <c r="G8" s="924">
        <f t="shared" ref="G8:G71" si="1">D8</f>
        <v>5931.3338184221402</v>
      </c>
      <c r="H8" s="606" t="s">
        <v>543</v>
      </c>
      <c r="I8" s="921"/>
      <c r="J8" s="921"/>
      <c r="K8" s="697" t="s">
        <v>544</v>
      </c>
      <c r="L8" s="930"/>
      <c r="M8" s="930"/>
      <c r="N8" s="930"/>
      <c r="O8" s="930"/>
      <c r="P8" s="931"/>
    </row>
    <row r="9" spans="1:16" hidden="1">
      <c r="A9" s="921" t="s">
        <v>140</v>
      </c>
      <c r="B9" s="919" t="s">
        <v>546</v>
      </c>
      <c r="C9" s="922" t="s">
        <v>141</v>
      </c>
      <c r="D9" s="923">
        <f>'[2]总投资-发采购-0411-GLP拆分场外费用(司调)'!G8</f>
        <v>4137.5599067698404</v>
      </c>
      <c r="E9" s="924"/>
      <c r="F9" s="924">
        <f t="shared" si="0"/>
        <v>0</v>
      </c>
      <c r="G9" s="924">
        <f t="shared" si="1"/>
        <v>4137.5599067698404</v>
      </c>
      <c r="H9" s="606" t="s">
        <v>543</v>
      </c>
      <c r="I9" s="921"/>
      <c r="J9" s="921"/>
      <c r="K9" s="697" t="s">
        <v>544</v>
      </c>
      <c r="L9" s="930"/>
      <c r="M9" s="930"/>
      <c r="N9" s="930"/>
      <c r="O9" s="930"/>
      <c r="P9" s="931"/>
    </row>
    <row r="10" spans="1:16" hidden="1">
      <c r="A10" s="921" t="s">
        <v>142</v>
      </c>
      <c r="B10" s="919" t="s">
        <v>27</v>
      </c>
      <c r="C10" s="922" t="s">
        <v>143</v>
      </c>
      <c r="D10" s="923">
        <f>'[2]总投资-发采购-0411-GLP拆分场外费用(司调)'!G9</f>
        <v>13.96608</v>
      </c>
      <c r="E10" s="924"/>
      <c r="F10" s="924">
        <f t="shared" si="0"/>
        <v>0</v>
      </c>
      <c r="G10" s="924">
        <f t="shared" si="1"/>
        <v>13.96608</v>
      </c>
      <c r="H10" s="606" t="s">
        <v>543</v>
      </c>
      <c r="I10" s="921"/>
      <c r="J10" s="921"/>
      <c r="K10" s="697" t="s">
        <v>544</v>
      </c>
      <c r="L10" s="930"/>
      <c r="M10" s="930"/>
      <c r="N10" s="930"/>
      <c r="O10" s="930"/>
      <c r="P10" s="931"/>
    </row>
    <row r="11" spans="1:16" hidden="1">
      <c r="A11" s="921" t="s">
        <v>144</v>
      </c>
      <c r="B11" s="919" t="s">
        <v>36</v>
      </c>
      <c r="C11" s="922" t="s">
        <v>145</v>
      </c>
      <c r="D11" s="923">
        <f>'[2]总投资-发采购-0411-GLP拆分场外费用(司调)'!G10</f>
        <v>125.69472</v>
      </c>
      <c r="E11" s="924"/>
      <c r="F11" s="924">
        <f t="shared" si="0"/>
        <v>0</v>
      </c>
      <c r="G11" s="924">
        <f t="shared" si="1"/>
        <v>125.69472</v>
      </c>
      <c r="H11" s="606" t="s">
        <v>543</v>
      </c>
      <c r="I11" s="921"/>
      <c r="J11" s="921"/>
      <c r="K11" s="697" t="s">
        <v>544</v>
      </c>
      <c r="L11" s="930"/>
      <c r="M11" s="930"/>
      <c r="N11" s="930"/>
      <c r="O11" s="930"/>
      <c r="P11" s="931"/>
    </row>
    <row r="12" spans="1:16" hidden="1">
      <c r="A12" s="921" t="s">
        <v>146</v>
      </c>
      <c r="B12" s="919" t="s">
        <v>547</v>
      </c>
      <c r="C12" s="922" t="s">
        <v>147</v>
      </c>
      <c r="D12" s="923">
        <f>'[2]总投资-发采购-0411-GLP拆分场外费用(司调)'!G11</f>
        <v>97.762559999999993</v>
      </c>
      <c r="E12" s="924"/>
      <c r="F12" s="924">
        <f t="shared" si="0"/>
        <v>0</v>
      </c>
      <c r="G12" s="924">
        <f t="shared" si="1"/>
        <v>97.762559999999993</v>
      </c>
      <c r="H12" s="606" t="s">
        <v>543</v>
      </c>
      <c r="I12" s="921"/>
      <c r="J12" s="921"/>
      <c r="K12" s="697" t="s">
        <v>544</v>
      </c>
      <c r="L12" s="930"/>
      <c r="M12" s="930"/>
      <c r="N12" s="930"/>
      <c r="O12" s="930"/>
      <c r="P12" s="931"/>
    </row>
    <row r="13" spans="1:16" hidden="1">
      <c r="A13" s="921" t="s">
        <v>148</v>
      </c>
      <c r="B13" s="919" t="s">
        <v>548</v>
      </c>
      <c r="C13" s="922" t="s">
        <v>149</v>
      </c>
      <c r="D13" s="923">
        <f>'[2]总投资-发采购-0411-GLP拆分场外费用(司调)'!G12</f>
        <v>216.47424000000001</v>
      </c>
      <c r="E13" s="924"/>
      <c r="F13" s="924">
        <f t="shared" si="0"/>
        <v>0</v>
      </c>
      <c r="G13" s="924">
        <f t="shared" si="1"/>
        <v>216.47424000000001</v>
      </c>
      <c r="H13" s="606" t="s">
        <v>543</v>
      </c>
      <c r="I13" s="921"/>
      <c r="J13" s="921"/>
      <c r="K13" s="697" t="s">
        <v>544</v>
      </c>
      <c r="L13" s="930"/>
      <c r="M13" s="930"/>
      <c r="N13" s="930"/>
      <c r="O13" s="930"/>
      <c r="P13" s="931"/>
    </row>
    <row r="14" spans="1:16" hidden="1">
      <c r="A14" s="921" t="s">
        <v>150</v>
      </c>
      <c r="B14" s="925"/>
      <c r="C14" s="922" t="s">
        <v>151</v>
      </c>
      <c r="D14" s="923">
        <f>'[2]总投资-发采购-0411-GLP拆分场外费用(司调)'!G13</f>
        <v>59.652501722990401</v>
      </c>
      <c r="E14" s="924"/>
      <c r="F14" s="924">
        <f t="shared" si="0"/>
        <v>0</v>
      </c>
      <c r="G14" s="924">
        <f t="shared" si="1"/>
        <v>59.652501722990401</v>
      </c>
      <c r="H14" s="606" t="s">
        <v>543</v>
      </c>
      <c r="I14" s="921"/>
      <c r="J14" s="921"/>
      <c r="K14" s="697" t="s">
        <v>544</v>
      </c>
      <c r="L14" s="930"/>
      <c r="M14" s="930"/>
      <c r="N14" s="930"/>
      <c r="O14" s="930"/>
      <c r="P14" s="931"/>
    </row>
    <row r="15" spans="1:16" hidden="1">
      <c r="A15" s="921" t="s">
        <v>152</v>
      </c>
      <c r="B15" s="925"/>
      <c r="C15" s="922" t="s">
        <v>153</v>
      </c>
      <c r="D15" s="923">
        <f>'[2]总投资-发采购-0411-GLP拆分场外费用(司调)'!G14</f>
        <v>218.22</v>
      </c>
      <c r="E15" s="924"/>
      <c r="F15" s="924">
        <f t="shared" si="0"/>
        <v>0</v>
      </c>
      <c r="G15" s="924">
        <f t="shared" si="1"/>
        <v>218.22</v>
      </c>
      <c r="H15" s="606" t="s">
        <v>543</v>
      </c>
      <c r="I15" s="921"/>
      <c r="J15" s="921"/>
      <c r="K15" s="697" t="s">
        <v>544</v>
      </c>
      <c r="L15" s="930"/>
      <c r="M15" s="930"/>
      <c r="N15" s="930"/>
      <c r="O15" s="930"/>
      <c r="P15" s="931"/>
    </row>
    <row r="16" spans="1:16" hidden="1">
      <c r="A16" s="921" t="s">
        <v>154</v>
      </c>
      <c r="B16" s="925"/>
      <c r="C16" s="922" t="s">
        <v>155</v>
      </c>
      <c r="D16" s="923">
        <f>'[2]总投资-发采购-0411-GLP拆分场外费用(司调)'!G15</f>
        <v>1024.0038099293099</v>
      </c>
      <c r="E16" s="924"/>
      <c r="F16" s="924">
        <f t="shared" si="0"/>
        <v>0</v>
      </c>
      <c r="G16" s="924">
        <f t="shared" si="1"/>
        <v>1024.0038099293099</v>
      </c>
      <c r="H16" s="606" t="s">
        <v>543</v>
      </c>
      <c r="I16" s="921"/>
      <c r="J16" s="921"/>
      <c r="K16" s="697" t="s">
        <v>544</v>
      </c>
      <c r="L16" s="930"/>
      <c r="M16" s="930"/>
      <c r="N16" s="930"/>
      <c r="O16" s="930"/>
      <c r="P16" s="931"/>
    </row>
    <row r="17" spans="1:16" hidden="1">
      <c r="A17" s="921" t="s">
        <v>154</v>
      </c>
      <c r="B17" s="925"/>
      <c r="C17" s="922" t="s">
        <v>156</v>
      </c>
      <c r="D17" s="923">
        <f>'[2]总投资-发采购-0411-GLP拆分场外费用(司调)'!G16</f>
        <v>38</v>
      </c>
      <c r="E17" s="924"/>
      <c r="F17" s="924">
        <f t="shared" si="0"/>
        <v>0</v>
      </c>
      <c r="G17" s="924">
        <f t="shared" si="1"/>
        <v>38</v>
      </c>
      <c r="H17" s="606" t="s">
        <v>543</v>
      </c>
      <c r="I17" s="921"/>
      <c r="J17" s="921"/>
      <c r="K17" s="697" t="s">
        <v>544</v>
      </c>
      <c r="L17" s="930"/>
      <c r="M17" s="930"/>
      <c r="N17" s="930"/>
      <c r="O17" s="930"/>
      <c r="P17" s="931"/>
    </row>
    <row r="18" spans="1:16" hidden="1">
      <c r="A18" s="921"/>
      <c r="B18" s="925"/>
      <c r="C18" s="922" t="s">
        <v>157</v>
      </c>
      <c r="D18" s="923">
        <f>'[2]总投资-发采购-0411-GLP拆分场外费用(司调)'!G17</f>
        <v>1</v>
      </c>
      <c r="E18" s="924"/>
      <c r="F18" s="924">
        <f t="shared" si="0"/>
        <v>0</v>
      </c>
      <c r="G18" s="924">
        <f t="shared" si="1"/>
        <v>1</v>
      </c>
      <c r="H18" s="606" t="s">
        <v>543</v>
      </c>
      <c r="I18" s="921"/>
      <c r="J18" s="921"/>
      <c r="K18" s="697" t="s">
        <v>544</v>
      </c>
      <c r="L18" s="930"/>
      <c r="M18" s="930"/>
      <c r="N18" s="930"/>
      <c r="O18" s="930"/>
      <c r="P18" s="931"/>
    </row>
    <row r="19" spans="1:16" hidden="1">
      <c r="A19" s="921"/>
      <c r="B19" s="925"/>
      <c r="C19" s="922" t="s">
        <v>158</v>
      </c>
      <c r="D19" s="923">
        <f>'[2]总投资-发采购-0411-GLP拆分场外费用(司调)'!G18</f>
        <v>4</v>
      </c>
      <c r="E19" s="924"/>
      <c r="F19" s="924">
        <f t="shared" si="0"/>
        <v>0</v>
      </c>
      <c r="G19" s="924">
        <f t="shared" si="1"/>
        <v>4</v>
      </c>
      <c r="H19" s="606" t="s">
        <v>543</v>
      </c>
      <c r="I19" s="921"/>
      <c r="J19" s="921"/>
      <c r="K19" s="697" t="s">
        <v>544</v>
      </c>
      <c r="L19" s="930"/>
      <c r="M19" s="930"/>
      <c r="N19" s="930"/>
      <c r="O19" s="930"/>
      <c r="P19" s="931"/>
    </row>
    <row r="20" spans="1:16" hidden="1">
      <c r="A20" s="921"/>
      <c r="B20" s="926"/>
      <c r="C20" s="927" t="s">
        <v>159</v>
      </c>
      <c r="D20" s="923">
        <f>'[2]总投资-发采购-0411-GLP拆分场外费用(司调)'!G19</f>
        <v>33</v>
      </c>
      <c r="E20" s="928"/>
      <c r="F20" s="924">
        <f t="shared" si="0"/>
        <v>0</v>
      </c>
      <c r="G20" s="924">
        <f t="shared" si="1"/>
        <v>33</v>
      </c>
      <c r="H20" s="606" t="s">
        <v>543</v>
      </c>
      <c r="I20" s="921"/>
      <c r="J20" s="921"/>
      <c r="K20" s="697" t="s">
        <v>544</v>
      </c>
      <c r="L20" s="930"/>
      <c r="M20" s="930"/>
      <c r="N20" s="930"/>
      <c r="O20" s="930"/>
      <c r="P20" s="931"/>
    </row>
    <row r="21" spans="1:16" hidden="1">
      <c r="A21" s="921" t="s">
        <v>160</v>
      </c>
      <c r="B21" s="925"/>
      <c r="C21" s="929" t="s">
        <v>161</v>
      </c>
      <c r="D21" s="923">
        <f>'[2]总投资-发采购-0411-GLP拆分场外费用(司调)'!G20</f>
        <v>481.61950000000002</v>
      </c>
      <c r="E21" s="928"/>
      <c r="F21" s="924">
        <f t="shared" si="0"/>
        <v>0</v>
      </c>
      <c r="G21" s="924">
        <f t="shared" si="1"/>
        <v>481.61950000000002</v>
      </c>
      <c r="H21" s="606" t="s">
        <v>543</v>
      </c>
      <c r="I21" s="921"/>
      <c r="J21" s="921"/>
      <c r="K21" s="697" t="s">
        <v>544</v>
      </c>
      <c r="L21" s="930"/>
      <c r="M21" s="930"/>
      <c r="N21" s="930"/>
      <c r="O21" s="930"/>
      <c r="P21" s="931"/>
    </row>
    <row r="22" spans="1:16" hidden="1">
      <c r="A22" s="921" t="s">
        <v>162</v>
      </c>
      <c r="B22" s="925"/>
      <c r="C22" s="929" t="s">
        <v>163</v>
      </c>
      <c r="D22" s="923">
        <f>'[2]总投资-发采购-0411-GLP拆分场外费用(司调)'!G21</f>
        <v>3.3214999999999999</v>
      </c>
      <c r="E22" s="928"/>
      <c r="F22" s="924">
        <f t="shared" si="0"/>
        <v>0</v>
      </c>
      <c r="G22" s="924">
        <f t="shared" si="1"/>
        <v>3.3214999999999999</v>
      </c>
      <c r="H22" s="606" t="s">
        <v>543</v>
      </c>
      <c r="I22" s="921"/>
      <c r="J22" s="921"/>
      <c r="K22" s="697" t="s">
        <v>544</v>
      </c>
      <c r="L22" s="930"/>
      <c r="M22" s="930"/>
      <c r="N22" s="930"/>
      <c r="O22" s="930"/>
      <c r="P22" s="931"/>
    </row>
    <row r="23" spans="1:16" hidden="1">
      <c r="A23" s="921" t="s">
        <v>164</v>
      </c>
      <c r="B23" s="925"/>
      <c r="C23" s="929" t="s">
        <v>165</v>
      </c>
      <c r="D23" s="923">
        <f>'[2]总投资-发采购-0411-GLP拆分场外费用(司调)'!G22</f>
        <v>455.52</v>
      </c>
      <c r="E23" s="928"/>
      <c r="F23" s="924">
        <f t="shared" si="0"/>
        <v>0</v>
      </c>
      <c r="G23" s="924">
        <f t="shared" si="1"/>
        <v>455.52</v>
      </c>
      <c r="H23" s="606" t="s">
        <v>543</v>
      </c>
      <c r="I23" s="921"/>
      <c r="J23" s="921"/>
      <c r="K23" s="697" t="s">
        <v>544</v>
      </c>
      <c r="L23" s="930"/>
      <c r="M23" s="930"/>
      <c r="N23" s="930"/>
      <c r="O23" s="930"/>
      <c r="P23" s="931"/>
    </row>
    <row r="24" spans="1:16" hidden="1">
      <c r="A24" s="921" t="s">
        <v>166</v>
      </c>
      <c r="B24" s="925"/>
      <c r="C24" s="929" t="s">
        <v>167</v>
      </c>
      <c r="D24" s="923">
        <f>'[2]总投资-发采购-0411-GLP拆分场外费用(司调)'!G23</f>
        <v>2.847</v>
      </c>
      <c r="E24" s="928"/>
      <c r="F24" s="924">
        <f t="shared" si="0"/>
        <v>0</v>
      </c>
      <c r="G24" s="924">
        <f t="shared" si="1"/>
        <v>2.847</v>
      </c>
      <c r="H24" s="606" t="s">
        <v>543</v>
      </c>
      <c r="I24" s="921"/>
      <c r="J24" s="921"/>
      <c r="K24" s="697" t="s">
        <v>544</v>
      </c>
      <c r="L24" s="930"/>
      <c r="M24" s="930"/>
      <c r="N24" s="930"/>
      <c r="O24" s="930"/>
      <c r="P24" s="931"/>
    </row>
    <row r="25" spans="1:16" hidden="1">
      <c r="A25" s="921" t="s">
        <v>168</v>
      </c>
      <c r="B25" s="925"/>
      <c r="C25" s="929" t="s">
        <v>169</v>
      </c>
      <c r="D25" s="923">
        <f>'[2]总投资-发采购-0411-GLP拆分场外费用(司调)'!G24</f>
        <v>3.7959999999999998</v>
      </c>
      <c r="E25" s="928"/>
      <c r="F25" s="924">
        <f t="shared" si="0"/>
        <v>0</v>
      </c>
      <c r="G25" s="924">
        <f t="shared" si="1"/>
        <v>3.7959999999999998</v>
      </c>
      <c r="H25" s="606" t="s">
        <v>543</v>
      </c>
      <c r="I25" s="921"/>
      <c r="J25" s="921"/>
      <c r="K25" s="697" t="s">
        <v>544</v>
      </c>
      <c r="L25" s="930"/>
      <c r="M25" s="930"/>
      <c r="N25" s="930"/>
      <c r="O25" s="930"/>
      <c r="P25" s="931"/>
    </row>
    <row r="26" spans="1:16" hidden="1">
      <c r="A26" s="921" t="s">
        <v>170</v>
      </c>
      <c r="B26" s="925"/>
      <c r="C26" s="929" t="s">
        <v>171</v>
      </c>
      <c r="D26" s="923">
        <f>'[2]总投资-发采购-0411-GLP拆分场外费用(司调)'!G25</f>
        <v>8.5410000000000004</v>
      </c>
      <c r="E26" s="928"/>
      <c r="F26" s="924">
        <f t="shared" si="0"/>
        <v>0</v>
      </c>
      <c r="G26" s="924">
        <f t="shared" si="1"/>
        <v>8.5410000000000004</v>
      </c>
      <c r="H26" s="606" t="s">
        <v>543</v>
      </c>
      <c r="I26" s="921"/>
      <c r="J26" s="921"/>
      <c r="K26" s="697" t="s">
        <v>544</v>
      </c>
      <c r="L26" s="930"/>
      <c r="M26" s="930"/>
      <c r="N26" s="930"/>
      <c r="O26" s="930"/>
      <c r="P26" s="931"/>
    </row>
    <row r="27" spans="1:16" hidden="1">
      <c r="A27" s="921" t="s">
        <v>172</v>
      </c>
      <c r="B27" s="925"/>
      <c r="C27" s="929" t="s">
        <v>173</v>
      </c>
      <c r="D27" s="923">
        <f>'[2]总投资-发采购-0411-GLP拆分场外费用(司调)'!G26</f>
        <v>5.694</v>
      </c>
      <c r="E27" s="928"/>
      <c r="F27" s="924">
        <f t="shared" si="0"/>
        <v>0</v>
      </c>
      <c r="G27" s="924">
        <f t="shared" si="1"/>
        <v>5.694</v>
      </c>
      <c r="H27" s="606" t="s">
        <v>543</v>
      </c>
      <c r="I27" s="921"/>
      <c r="J27" s="921"/>
      <c r="K27" s="697" t="s">
        <v>544</v>
      </c>
      <c r="L27" s="930"/>
      <c r="M27" s="930"/>
      <c r="N27" s="930"/>
      <c r="O27" s="930"/>
      <c r="P27" s="931"/>
    </row>
    <row r="28" spans="1:16" hidden="1">
      <c r="A28" s="921" t="s">
        <v>174</v>
      </c>
      <c r="B28" s="926"/>
      <c r="C28" s="927" t="s">
        <v>175</v>
      </c>
      <c r="D28" s="923">
        <f>'[2]总投资-发采购-0411-GLP拆分场外费用(司调)'!G27</f>
        <v>1.9</v>
      </c>
      <c r="E28" s="928"/>
      <c r="F28" s="924">
        <f t="shared" si="0"/>
        <v>0</v>
      </c>
      <c r="G28" s="924">
        <f t="shared" si="1"/>
        <v>1.9</v>
      </c>
      <c r="H28" s="606" t="s">
        <v>543</v>
      </c>
      <c r="I28" s="921"/>
      <c r="J28" s="921"/>
      <c r="K28" s="697" t="s">
        <v>544</v>
      </c>
      <c r="L28" s="930"/>
      <c r="M28" s="930"/>
      <c r="N28" s="930"/>
      <c r="O28" s="930"/>
      <c r="P28" s="931"/>
    </row>
    <row r="29" spans="1:16" hidden="1">
      <c r="A29" s="921">
        <v>1.4</v>
      </c>
      <c r="B29" s="925"/>
      <c r="C29" s="927" t="s">
        <v>176</v>
      </c>
      <c r="D29" s="923">
        <f>'[2]总投资-发采购-0411-GLP拆分场外费用(司调)'!G28</f>
        <v>463.8</v>
      </c>
      <c r="E29" s="928"/>
      <c r="F29" s="924">
        <f t="shared" si="0"/>
        <v>0</v>
      </c>
      <c r="G29" s="924">
        <f t="shared" si="1"/>
        <v>463.8</v>
      </c>
      <c r="H29" s="606" t="s">
        <v>543</v>
      </c>
      <c r="I29" s="921"/>
      <c r="J29" s="921"/>
      <c r="K29" s="697" t="s">
        <v>544</v>
      </c>
      <c r="L29" s="930"/>
      <c r="M29" s="930"/>
      <c r="N29" s="930"/>
      <c r="O29" s="930"/>
      <c r="P29" s="931"/>
    </row>
    <row r="30" spans="1:16">
      <c r="A30" s="606" t="s">
        <v>177</v>
      </c>
      <c r="B30" s="919" t="s">
        <v>549</v>
      </c>
      <c r="C30" s="709" t="s">
        <v>550</v>
      </c>
      <c r="D30" s="710">
        <f>'[2]总投资-发采购-0411-GLP拆分场外费用(司调)'!G82</f>
        <v>13277.6976990773</v>
      </c>
      <c r="E30" s="711">
        <f>D30/$A$3</f>
        <v>1867.4680308125596</v>
      </c>
      <c r="F30" s="920">
        <v>1</v>
      </c>
      <c r="G30" s="712">
        <f t="shared" si="1"/>
        <v>13277.6976990773</v>
      </c>
      <c r="H30" s="606" t="s">
        <v>543</v>
      </c>
      <c r="I30" s="606" t="s">
        <v>30</v>
      </c>
      <c r="J30" s="606">
        <v>18</v>
      </c>
      <c r="K30" s="697" t="s">
        <v>31</v>
      </c>
      <c r="L30" s="738">
        <v>2025.3</v>
      </c>
      <c r="M30" s="738">
        <v>2025.4</v>
      </c>
      <c r="N30" s="738" t="s">
        <v>181</v>
      </c>
      <c r="O30" s="738" t="s">
        <v>137</v>
      </c>
      <c r="P30" s="697"/>
    </row>
    <row r="31" spans="1:16" hidden="1">
      <c r="A31" s="921">
        <v>2.8</v>
      </c>
      <c r="B31" s="919" t="s">
        <v>546</v>
      </c>
      <c r="C31" s="709"/>
      <c r="D31" s="923">
        <f>'[2]总投资-发采购-0411-GLP拆分场外费用(司调)'!G82</f>
        <v>13277.6976990773</v>
      </c>
      <c r="E31" s="928">
        <f t="shared" ref="E31:E44" si="2">D31/$A$3</f>
        <v>1867.4680308125596</v>
      </c>
      <c r="F31" s="920">
        <v>1</v>
      </c>
      <c r="G31" s="924">
        <f t="shared" si="1"/>
        <v>13277.6976990773</v>
      </c>
      <c r="H31" s="606" t="s">
        <v>543</v>
      </c>
      <c r="I31" s="606"/>
      <c r="J31" s="606"/>
      <c r="K31" s="697" t="s">
        <v>544</v>
      </c>
      <c r="L31" s="738"/>
      <c r="M31" s="738"/>
      <c r="N31" s="738"/>
      <c r="O31" s="738"/>
      <c r="P31" s="697"/>
    </row>
    <row r="32" spans="1:16" hidden="1">
      <c r="A32" s="921" t="s">
        <v>183</v>
      </c>
      <c r="B32" s="919" t="s">
        <v>27</v>
      </c>
      <c r="C32" s="709"/>
      <c r="D32" s="923">
        <f>'[2]总投资-发采购-0411-GLP拆分场外费用(司调)'!G83</f>
        <v>9630.4162214578791</v>
      </c>
      <c r="E32" s="928">
        <f t="shared" si="2"/>
        <v>1354.48892003627</v>
      </c>
      <c r="F32" s="920">
        <v>1</v>
      </c>
      <c r="G32" s="924">
        <f t="shared" si="1"/>
        <v>9630.4162214578791</v>
      </c>
      <c r="H32" s="606" t="s">
        <v>543</v>
      </c>
      <c r="I32" s="606"/>
      <c r="J32" s="606"/>
      <c r="K32" s="697" t="s">
        <v>544</v>
      </c>
      <c r="L32" s="738"/>
      <c r="M32" s="738"/>
      <c r="N32" s="738"/>
      <c r="O32" s="738"/>
      <c r="P32" s="697"/>
    </row>
    <row r="33" spans="1:16" hidden="1">
      <c r="A33" s="921" t="s">
        <v>184</v>
      </c>
      <c r="B33" s="919" t="s">
        <v>36</v>
      </c>
      <c r="C33" s="709"/>
      <c r="D33" s="923">
        <f>'[2]总投资-发采购-0411-GLP拆分场外费用(司调)'!G84</f>
        <v>32.506880000000002</v>
      </c>
      <c r="E33" s="928">
        <f t="shared" si="2"/>
        <v>4.5719943741209566</v>
      </c>
      <c r="F33" s="920">
        <v>1</v>
      </c>
      <c r="G33" s="924">
        <f t="shared" si="1"/>
        <v>32.506880000000002</v>
      </c>
      <c r="H33" s="606" t="s">
        <v>543</v>
      </c>
      <c r="I33" s="606"/>
      <c r="J33" s="606"/>
      <c r="K33" s="697" t="s">
        <v>544</v>
      </c>
      <c r="L33" s="738"/>
      <c r="M33" s="738"/>
      <c r="N33" s="738"/>
      <c r="O33" s="738"/>
      <c r="P33" s="697"/>
    </row>
    <row r="34" spans="1:16" hidden="1">
      <c r="A34" s="921" t="s">
        <v>185</v>
      </c>
      <c r="B34" s="919" t="s">
        <v>551</v>
      </c>
      <c r="C34" s="709"/>
      <c r="D34" s="923">
        <f>'[2]总投资-发采购-0411-GLP拆分场外费用(司调)'!G85</f>
        <v>292.56191999999999</v>
      </c>
      <c r="E34" s="928">
        <f t="shared" si="2"/>
        <v>41.147949367088607</v>
      </c>
      <c r="F34" s="920">
        <v>1</v>
      </c>
      <c r="G34" s="924">
        <f t="shared" si="1"/>
        <v>292.56191999999999</v>
      </c>
      <c r="H34" s="606" t="s">
        <v>543</v>
      </c>
      <c r="I34" s="606"/>
      <c r="J34" s="606"/>
      <c r="K34" s="697" t="s">
        <v>544</v>
      </c>
      <c r="L34" s="738"/>
      <c r="M34" s="738"/>
      <c r="N34" s="738"/>
      <c r="O34" s="738"/>
      <c r="P34" s="697"/>
    </row>
    <row r="35" spans="1:16" hidden="1">
      <c r="A35" s="921" t="s">
        <v>186</v>
      </c>
      <c r="B35" s="919" t="s">
        <v>552</v>
      </c>
      <c r="C35" s="709"/>
      <c r="D35" s="923">
        <f>'[2]总投资-发采购-0411-GLP拆分场外费用(司调)'!G86</f>
        <v>227.54816</v>
      </c>
      <c r="E35" s="928">
        <f t="shared" si="2"/>
        <v>32.003960618846691</v>
      </c>
      <c r="F35" s="920">
        <v>1</v>
      </c>
      <c r="G35" s="924">
        <f t="shared" si="1"/>
        <v>227.54816</v>
      </c>
      <c r="H35" s="606" t="s">
        <v>543</v>
      </c>
      <c r="I35" s="606"/>
      <c r="J35" s="606"/>
      <c r="K35" s="697" t="s">
        <v>544</v>
      </c>
      <c r="L35" s="738"/>
      <c r="M35" s="738"/>
      <c r="N35" s="738"/>
      <c r="O35" s="738"/>
      <c r="P35" s="697"/>
    </row>
    <row r="36" spans="1:16" hidden="1">
      <c r="A36" s="921" t="s">
        <v>187</v>
      </c>
      <c r="B36" s="919" t="s">
        <v>553</v>
      </c>
      <c r="C36" s="709"/>
      <c r="D36" s="923">
        <f>'[2]总投资-发采购-0411-GLP拆分场外费用(司调)'!G87</f>
        <v>503.85664000000003</v>
      </c>
      <c r="E36" s="928">
        <f t="shared" si="2"/>
        <v>70.865912798874831</v>
      </c>
      <c r="F36" s="920">
        <v>1</v>
      </c>
      <c r="G36" s="924">
        <f t="shared" si="1"/>
        <v>503.85664000000003</v>
      </c>
      <c r="H36" s="606" t="s">
        <v>543</v>
      </c>
      <c r="I36" s="606"/>
      <c r="J36" s="606"/>
      <c r="K36" s="697" t="s">
        <v>544</v>
      </c>
      <c r="L36" s="738"/>
      <c r="M36" s="738"/>
      <c r="N36" s="738"/>
      <c r="O36" s="738"/>
      <c r="P36" s="697"/>
    </row>
    <row r="37" spans="1:16" hidden="1">
      <c r="A37" s="921" t="s">
        <v>188</v>
      </c>
      <c r="B37" s="919" t="s">
        <v>554</v>
      </c>
      <c r="C37" s="709"/>
      <c r="D37" s="923">
        <f>'[2]总投资-发采购-0411-GLP拆分场外费用(司调)'!G88</f>
        <v>138.84473776528901</v>
      </c>
      <c r="E37" s="928">
        <f t="shared" si="2"/>
        <v>19.528092512698876</v>
      </c>
      <c r="F37" s="920">
        <v>1</v>
      </c>
      <c r="G37" s="924">
        <f t="shared" si="1"/>
        <v>138.84473776528901</v>
      </c>
      <c r="H37" s="606" t="s">
        <v>543</v>
      </c>
      <c r="I37" s="606"/>
      <c r="J37" s="606"/>
      <c r="K37" s="697" t="s">
        <v>544</v>
      </c>
      <c r="L37" s="738"/>
      <c r="M37" s="738"/>
      <c r="N37" s="738"/>
      <c r="O37" s="738"/>
      <c r="P37" s="697"/>
    </row>
    <row r="38" spans="1:16" hidden="1">
      <c r="A38" s="921" t="s">
        <v>189</v>
      </c>
      <c r="B38" s="919" t="s">
        <v>555</v>
      </c>
      <c r="C38" s="709"/>
      <c r="D38" s="923">
        <f>'[2]总投资-发采购-0411-GLP拆分场外费用(司调)'!G89</f>
        <v>507.92</v>
      </c>
      <c r="E38" s="928">
        <f t="shared" si="2"/>
        <v>71.437412095639942</v>
      </c>
      <c r="F38" s="920">
        <v>1</v>
      </c>
      <c r="G38" s="924">
        <f t="shared" si="1"/>
        <v>507.92</v>
      </c>
      <c r="H38" s="606" t="s">
        <v>543</v>
      </c>
      <c r="I38" s="606"/>
      <c r="J38" s="606"/>
      <c r="K38" s="697" t="s">
        <v>544</v>
      </c>
      <c r="L38" s="738"/>
      <c r="M38" s="738"/>
      <c r="N38" s="738"/>
      <c r="O38" s="738"/>
      <c r="P38" s="697"/>
    </row>
    <row r="39" spans="1:16" hidden="1">
      <c r="A39" s="921"/>
      <c r="B39" s="919" t="s">
        <v>556</v>
      </c>
      <c r="C39" s="709"/>
      <c r="D39" s="923">
        <f>'[2]总投资-发采购-0411-GLP拆分场外费用(司调)'!G90</f>
        <v>1881.04313985413</v>
      </c>
      <c r="E39" s="928">
        <f t="shared" si="2"/>
        <v>264.56302951534877</v>
      </c>
      <c r="F39" s="920">
        <v>1</v>
      </c>
      <c r="G39" s="924">
        <f t="shared" si="1"/>
        <v>1881.04313985413</v>
      </c>
      <c r="H39" s="606" t="s">
        <v>543</v>
      </c>
      <c r="I39" s="606"/>
      <c r="J39" s="606"/>
      <c r="K39" s="697" t="s">
        <v>544</v>
      </c>
      <c r="L39" s="738"/>
      <c r="M39" s="738"/>
      <c r="N39" s="738"/>
      <c r="O39" s="738"/>
      <c r="P39" s="697"/>
    </row>
    <row r="40" spans="1:16" hidden="1">
      <c r="A40" s="921" t="s">
        <v>190</v>
      </c>
      <c r="B40" s="919" t="s">
        <v>557</v>
      </c>
      <c r="C40" s="709"/>
      <c r="D40" s="923">
        <f>'[2]总投资-发采购-0411-GLP拆分场外费用(司调)'!G91</f>
        <v>63</v>
      </c>
      <c r="E40" s="928">
        <f t="shared" si="2"/>
        <v>8.8607594936708853</v>
      </c>
      <c r="F40" s="920">
        <v>1</v>
      </c>
      <c r="G40" s="924">
        <f t="shared" si="1"/>
        <v>63</v>
      </c>
      <c r="H40" s="606" t="s">
        <v>543</v>
      </c>
      <c r="I40" s="606"/>
      <c r="J40" s="606"/>
      <c r="K40" s="697" t="s">
        <v>544</v>
      </c>
      <c r="L40" s="738"/>
      <c r="M40" s="738"/>
      <c r="N40" s="738"/>
      <c r="O40" s="738"/>
      <c r="P40" s="697"/>
    </row>
    <row r="41" spans="1:16" hidden="1">
      <c r="A41" s="921"/>
      <c r="B41" s="919" t="s">
        <v>558</v>
      </c>
      <c r="C41" s="709"/>
      <c r="D41" s="923">
        <f>'[2]总投资-发采购-0411-GLP拆分场外费用(司调)'!G92</f>
        <v>1</v>
      </c>
      <c r="E41" s="928">
        <f t="shared" si="2"/>
        <v>0.14064697609001406</v>
      </c>
      <c r="F41" s="920">
        <v>1</v>
      </c>
      <c r="G41" s="924">
        <f t="shared" si="1"/>
        <v>1</v>
      </c>
      <c r="H41" s="606" t="s">
        <v>543</v>
      </c>
      <c r="I41" s="606"/>
      <c r="J41" s="606"/>
      <c r="K41" s="697" t="s">
        <v>544</v>
      </c>
      <c r="L41" s="738"/>
      <c r="M41" s="738"/>
      <c r="N41" s="738"/>
      <c r="O41" s="738"/>
      <c r="P41" s="697"/>
    </row>
    <row r="42" spans="1:16" hidden="1">
      <c r="A42" s="921"/>
      <c r="B42" s="919" t="s">
        <v>559</v>
      </c>
      <c r="C42" s="709"/>
      <c r="D42" s="923">
        <f>'[2]总投资-发采购-0411-GLP拆分场外费用(司调)'!G93</f>
        <v>11</v>
      </c>
      <c r="E42" s="928">
        <f t="shared" si="2"/>
        <v>1.5471167369901546</v>
      </c>
      <c r="F42" s="920">
        <v>1</v>
      </c>
      <c r="G42" s="924">
        <f t="shared" si="1"/>
        <v>11</v>
      </c>
      <c r="H42" s="606" t="s">
        <v>543</v>
      </c>
      <c r="I42" s="606"/>
      <c r="J42" s="606"/>
      <c r="K42" s="697" t="s">
        <v>544</v>
      </c>
      <c r="L42" s="738"/>
      <c r="M42" s="738"/>
      <c r="N42" s="738"/>
      <c r="O42" s="738"/>
      <c r="P42" s="697"/>
    </row>
    <row r="43" spans="1:16" hidden="1">
      <c r="A43" s="921"/>
      <c r="B43" s="919" t="s">
        <v>560</v>
      </c>
      <c r="C43" s="709"/>
      <c r="D43" s="923">
        <f>'[2]总投资-发采购-0411-GLP拆分场外费用(司调)'!G94</f>
        <v>51</v>
      </c>
      <c r="E43" s="928">
        <f t="shared" si="2"/>
        <v>7.1729957805907167</v>
      </c>
      <c r="F43" s="920">
        <v>1</v>
      </c>
      <c r="G43" s="924">
        <f t="shared" si="1"/>
        <v>51</v>
      </c>
      <c r="H43" s="606" t="s">
        <v>543</v>
      </c>
      <c r="I43" s="606"/>
      <c r="J43" s="606"/>
      <c r="K43" s="697" t="s">
        <v>544</v>
      </c>
      <c r="L43" s="738"/>
      <c r="M43" s="738"/>
      <c r="N43" s="738"/>
      <c r="O43" s="738"/>
      <c r="P43" s="697"/>
    </row>
    <row r="44" spans="1:16" ht="14.55" customHeight="1">
      <c r="A44" s="606" t="s">
        <v>26</v>
      </c>
      <c r="B44" s="919" t="s">
        <v>561</v>
      </c>
      <c r="C44" s="709" t="s">
        <v>562</v>
      </c>
      <c r="D44" s="710">
        <f>SUM('[2]总投资-发采购-0411-GLP拆分场外费用(司调)'!G173,'[2]总投资-发采购-0411-GLP拆分场外费用(司调)'!G186,'[2]总投资-发采购-0411-GLP拆分场外费用(司调)'!G202)</f>
        <v>25772.963395329403</v>
      </c>
      <c r="E44" s="711">
        <f t="shared" si="2"/>
        <v>3624.889366431702</v>
      </c>
      <c r="F44" s="920">
        <v>1</v>
      </c>
      <c r="G44" s="712">
        <f t="shared" si="1"/>
        <v>25772.963395329403</v>
      </c>
      <c r="H44" s="606" t="s">
        <v>543</v>
      </c>
      <c r="I44" s="606" t="s">
        <v>30</v>
      </c>
      <c r="J44" s="606">
        <v>18</v>
      </c>
      <c r="K44" s="697" t="s">
        <v>31</v>
      </c>
      <c r="L44" s="738">
        <v>2025.3</v>
      </c>
      <c r="M44" s="738">
        <v>2025.4</v>
      </c>
      <c r="N44" s="738" t="s">
        <v>181</v>
      </c>
      <c r="O44" s="738">
        <v>2026.12</v>
      </c>
      <c r="P44" s="697"/>
    </row>
    <row r="45" spans="1:16" hidden="1">
      <c r="A45" s="921">
        <v>2.15</v>
      </c>
      <c r="B45" s="919" t="s">
        <v>563</v>
      </c>
      <c r="C45" s="922"/>
      <c r="D45" s="923">
        <f>'[2]总投资-发采购-0411-GLP拆分场外费用(司调)'!G173</f>
        <v>11277.360138763701</v>
      </c>
      <c r="E45" s="928">
        <f t="shared" ref="E45:E71" si="3">D45/$A$3</f>
        <v>1586.1266017951759</v>
      </c>
      <c r="F45" s="920">
        <v>1</v>
      </c>
      <c r="G45" s="924">
        <f t="shared" si="1"/>
        <v>11277.360138763701</v>
      </c>
      <c r="H45" s="606" t="s">
        <v>543</v>
      </c>
      <c r="I45" s="921" t="s">
        <v>30</v>
      </c>
      <c r="J45" s="921" t="s">
        <v>195</v>
      </c>
      <c r="K45" s="697" t="s">
        <v>544</v>
      </c>
      <c r="L45" s="930">
        <v>2025.3</v>
      </c>
      <c r="M45" s="930">
        <v>2025.4</v>
      </c>
      <c r="N45" s="930" t="s">
        <v>136</v>
      </c>
      <c r="O45" s="930">
        <v>2026.12</v>
      </c>
      <c r="P45" s="931"/>
    </row>
    <row r="46" spans="1:16" hidden="1">
      <c r="A46" s="921" t="s">
        <v>198</v>
      </c>
      <c r="B46" s="919" t="s">
        <v>564</v>
      </c>
      <c r="C46" s="922"/>
      <c r="D46" s="923">
        <f>'[2]总投资-发采购-0411-GLP拆分场外费用(司调)'!G174</f>
        <v>8671.0150149573092</v>
      </c>
      <c r="E46" s="928">
        <f t="shared" si="3"/>
        <v>1219.5520414848536</v>
      </c>
      <c r="F46" s="920">
        <v>1</v>
      </c>
      <c r="G46" s="924">
        <f t="shared" si="1"/>
        <v>8671.0150149573092</v>
      </c>
      <c r="H46" s="606" t="s">
        <v>543</v>
      </c>
      <c r="I46" s="921" t="s">
        <v>30</v>
      </c>
      <c r="J46" s="921" t="s">
        <v>195</v>
      </c>
      <c r="K46" s="697" t="s">
        <v>544</v>
      </c>
      <c r="L46" s="930">
        <v>2025.3</v>
      </c>
      <c r="M46" s="930">
        <v>2025.4</v>
      </c>
      <c r="N46" s="930" t="s">
        <v>136</v>
      </c>
      <c r="O46" s="930">
        <v>2026.12</v>
      </c>
      <c r="P46" s="931"/>
    </row>
    <row r="47" spans="1:16" hidden="1">
      <c r="A47" s="921" t="s">
        <v>199</v>
      </c>
      <c r="B47" s="919" t="s">
        <v>565</v>
      </c>
      <c r="C47" s="922"/>
      <c r="D47" s="923">
        <f>'[2]总投资-发采购-0411-GLP拆分场外费用(司调)'!G175</f>
        <v>29.26848</v>
      </c>
      <c r="E47" s="928">
        <f t="shared" si="3"/>
        <v>4.1165232067510544</v>
      </c>
      <c r="F47" s="920">
        <v>1</v>
      </c>
      <c r="G47" s="924">
        <f t="shared" si="1"/>
        <v>29.26848</v>
      </c>
      <c r="H47" s="606" t="s">
        <v>543</v>
      </c>
      <c r="I47" s="921" t="s">
        <v>30</v>
      </c>
      <c r="J47" s="921" t="s">
        <v>195</v>
      </c>
      <c r="K47" s="697" t="s">
        <v>544</v>
      </c>
      <c r="L47" s="930">
        <v>2025.3</v>
      </c>
      <c r="M47" s="930">
        <v>2025.4</v>
      </c>
      <c r="N47" s="930" t="s">
        <v>136</v>
      </c>
      <c r="O47" s="930">
        <v>2026.12</v>
      </c>
      <c r="P47" s="931"/>
    </row>
    <row r="48" spans="1:16" hidden="1">
      <c r="A48" s="921" t="s">
        <v>200</v>
      </c>
      <c r="B48" s="919" t="s">
        <v>566</v>
      </c>
      <c r="C48" s="922"/>
      <c r="D48" s="923">
        <f>'[2]总投资-发采购-0411-GLP拆分场外费用(司调)'!G176</f>
        <v>263.41631999999998</v>
      </c>
      <c r="E48" s="928">
        <f t="shared" si="3"/>
        <v>37.04870886075949</v>
      </c>
      <c r="F48" s="920">
        <v>1</v>
      </c>
      <c r="G48" s="924">
        <f t="shared" si="1"/>
        <v>263.41631999999998</v>
      </c>
      <c r="H48" s="606" t="s">
        <v>543</v>
      </c>
      <c r="I48" s="921" t="s">
        <v>30</v>
      </c>
      <c r="J48" s="921" t="s">
        <v>195</v>
      </c>
      <c r="K48" s="697" t="s">
        <v>544</v>
      </c>
      <c r="L48" s="930">
        <v>2025.3</v>
      </c>
      <c r="M48" s="930">
        <v>2025.4</v>
      </c>
      <c r="N48" s="930" t="s">
        <v>136</v>
      </c>
      <c r="O48" s="930">
        <v>2026.12</v>
      </c>
      <c r="P48" s="931"/>
    </row>
    <row r="49" spans="1:16" hidden="1">
      <c r="A49" s="921" t="s">
        <v>201</v>
      </c>
      <c r="B49" s="919" t="s">
        <v>567</v>
      </c>
      <c r="C49" s="922"/>
      <c r="D49" s="923">
        <f>'[2]总投资-发采购-0411-GLP拆分场外费用(司调)'!G177</f>
        <v>204.87935999999999</v>
      </c>
      <c r="E49" s="928">
        <f t="shared" si="3"/>
        <v>28.815662447257381</v>
      </c>
      <c r="F49" s="920">
        <v>1</v>
      </c>
      <c r="G49" s="924">
        <f t="shared" si="1"/>
        <v>204.87935999999999</v>
      </c>
      <c r="H49" s="606" t="s">
        <v>543</v>
      </c>
      <c r="I49" s="921" t="s">
        <v>30</v>
      </c>
      <c r="J49" s="921" t="s">
        <v>195</v>
      </c>
      <c r="K49" s="697" t="s">
        <v>544</v>
      </c>
      <c r="L49" s="930">
        <v>2025.3</v>
      </c>
      <c r="M49" s="930">
        <v>2025.4</v>
      </c>
      <c r="N49" s="930" t="s">
        <v>136</v>
      </c>
      <c r="O49" s="930">
        <v>2026.12</v>
      </c>
      <c r="P49" s="931"/>
    </row>
    <row r="50" spans="1:16" hidden="1">
      <c r="A50" s="921" t="s">
        <v>202</v>
      </c>
      <c r="B50" s="919" t="s">
        <v>568</v>
      </c>
      <c r="C50" s="922"/>
      <c r="D50" s="923">
        <f>'[2]总投资-发采购-0411-GLP拆分场外费用(司调)'!G178</f>
        <v>453.66144000000003</v>
      </c>
      <c r="E50" s="928">
        <f t="shared" si="3"/>
        <v>63.806109704641351</v>
      </c>
      <c r="F50" s="920">
        <v>1</v>
      </c>
      <c r="G50" s="924">
        <f t="shared" si="1"/>
        <v>453.66144000000003</v>
      </c>
      <c r="H50" s="606" t="s">
        <v>543</v>
      </c>
      <c r="I50" s="921" t="s">
        <v>30</v>
      </c>
      <c r="J50" s="921" t="s">
        <v>195</v>
      </c>
      <c r="K50" s="697" t="s">
        <v>544</v>
      </c>
      <c r="L50" s="930">
        <v>2025.3</v>
      </c>
      <c r="M50" s="930">
        <v>2025.4</v>
      </c>
      <c r="N50" s="930" t="s">
        <v>136</v>
      </c>
      <c r="O50" s="930">
        <v>2026.12</v>
      </c>
      <c r="P50" s="931"/>
    </row>
    <row r="51" spans="1:16" hidden="1">
      <c r="A51" s="921" t="s">
        <v>203</v>
      </c>
      <c r="B51" s="919" t="s">
        <v>569</v>
      </c>
      <c r="C51" s="922"/>
      <c r="D51" s="923">
        <f>'[2]总投资-发采购-0411-GLP拆分场外费用(司调)'!G179</f>
        <v>125.01274900539801</v>
      </c>
      <c r="E51" s="928">
        <f t="shared" si="3"/>
        <v>17.582665120309141</v>
      </c>
      <c r="F51" s="920">
        <v>1</v>
      </c>
      <c r="G51" s="924">
        <f t="shared" si="1"/>
        <v>125.01274900539801</v>
      </c>
      <c r="H51" s="606" t="s">
        <v>543</v>
      </c>
      <c r="I51" s="921" t="s">
        <v>30</v>
      </c>
      <c r="J51" s="921" t="s">
        <v>195</v>
      </c>
      <c r="K51" s="697" t="s">
        <v>544</v>
      </c>
      <c r="L51" s="930">
        <v>2025.3</v>
      </c>
      <c r="M51" s="930">
        <v>2025.4</v>
      </c>
      <c r="N51" s="930" t="s">
        <v>136</v>
      </c>
      <c r="O51" s="930">
        <v>2026.12</v>
      </c>
      <c r="P51" s="931"/>
    </row>
    <row r="52" spans="1:16" hidden="1">
      <c r="A52" s="921" t="s">
        <v>204</v>
      </c>
      <c r="B52" s="919" t="s">
        <v>570</v>
      </c>
      <c r="C52" s="922"/>
      <c r="D52" s="923">
        <f>'[2]总投资-发采购-0411-GLP拆分场外费用(司调)'!G180</f>
        <v>457.32</v>
      </c>
      <c r="E52" s="928">
        <f t="shared" si="3"/>
        <v>64.320675105485222</v>
      </c>
      <c r="F52" s="920">
        <v>1</v>
      </c>
      <c r="G52" s="924">
        <f t="shared" si="1"/>
        <v>457.32</v>
      </c>
      <c r="H52" s="606" t="s">
        <v>543</v>
      </c>
      <c r="I52" s="921" t="s">
        <v>30</v>
      </c>
      <c r="J52" s="921" t="s">
        <v>195</v>
      </c>
      <c r="K52" s="697" t="s">
        <v>544</v>
      </c>
      <c r="L52" s="930">
        <v>2025.3</v>
      </c>
      <c r="M52" s="930">
        <v>2025.4</v>
      </c>
      <c r="N52" s="930" t="s">
        <v>136</v>
      </c>
      <c r="O52" s="930">
        <v>2026.12</v>
      </c>
      <c r="P52" s="931"/>
    </row>
    <row r="53" spans="1:16" hidden="1">
      <c r="A53" s="921"/>
      <c r="B53" s="919" t="s">
        <v>571</v>
      </c>
      <c r="C53" s="922"/>
      <c r="D53" s="923">
        <f>'[2]总投资-发采购-0411-GLP拆分场外费用(司调)'!G181</f>
        <v>1015.78677480099</v>
      </c>
      <c r="E53" s="928">
        <f t="shared" si="3"/>
        <v>142.86733822798732</v>
      </c>
      <c r="F53" s="920">
        <v>1</v>
      </c>
      <c r="G53" s="924">
        <f t="shared" si="1"/>
        <v>1015.78677480099</v>
      </c>
      <c r="H53" s="606" t="s">
        <v>543</v>
      </c>
      <c r="I53" s="921"/>
      <c r="J53" s="921"/>
      <c r="K53" s="697" t="s">
        <v>544</v>
      </c>
      <c r="L53" s="930"/>
      <c r="M53" s="930"/>
      <c r="N53" s="930"/>
      <c r="O53" s="930"/>
      <c r="P53" s="931"/>
    </row>
    <row r="54" spans="1:16" hidden="1">
      <c r="A54" s="921" t="s">
        <v>206</v>
      </c>
      <c r="B54" s="919" t="s">
        <v>572</v>
      </c>
      <c r="C54" s="922"/>
      <c r="D54" s="923">
        <f>'[2]总投资-发采购-0411-GLP拆分场外费用(司调)'!G182</f>
        <v>57</v>
      </c>
      <c r="E54" s="928">
        <f t="shared" si="3"/>
        <v>8.0168776371308006</v>
      </c>
      <c r="F54" s="920">
        <v>1</v>
      </c>
      <c r="G54" s="924">
        <f t="shared" si="1"/>
        <v>57</v>
      </c>
      <c r="H54" s="606" t="s">
        <v>543</v>
      </c>
      <c r="I54" s="921" t="s">
        <v>30</v>
      </c>
      <c r="J54" s="921" t="s">
        <v>195</v>
      </c>
      <c r="K54" s="697" t="s">
        <v>544</v>
      </c>
      <c r="L54" s="930">
        <v>2025.3</v>
      </c>
      <c r="M54" s="930">
        <v>2025.4</v>
      </c>
      <c r="N54" s="930" t="s">
        <v>136</v>
      </c>
      <c r="O54" s="930">
        <v>2026.12</v>
      </c>
      <c r="P54" s="931"/>
    </row>
    <row r="55" spans="1:16" hidden="1">
      <c r="A55" s="921"/>
      <c r="B55" s="919" t="s">
        <v>573</v>
      </c>
      <c r="C55" s="922"/>
      <c r="D55" s="923">
        <f>'[2]总投资-发采购-0411-GLP拆分场外费用(司调)'!G183</f>
        <v>1</v>
      </c>
      <c r="E55" s="928">
        <f t="shared" si="3"/>
        <v>0.14064697609001406</v>
      </c>
      <c r="F55" s="920">
        <v>1</v>
      </c>
      <c r="G55" s="924">
        <f t="shared" si="1"/>
        <v>1</v>
      </c>
      <c r="H55" s="606" t="s">
        <v>543</v>
      </c>
      <c r="I55" s="921" t="s">
        <v>30</v>
      </c>
      <c r="J55" s="921" t="s">
        <v>195</v>
      </c>
      <c r="K55" s="697" t="s">
        <v>544</v>
      </c>
      <c r="L55" s="930">
        <v>2025.3</v>
      </c>
      <c r="M55" s="930">
        <v>2025.4</v>
      </c>
      <c r="N55" s="930" t="s">
        <v>136</v>
      </c>
      <c r="O55" s="930">
        <v>2026.12</v>
      </c>
      <c r="P55" s="931"/>
    </row>
    <row r="56" spans="1:16" hidden="1">
      <c r="A56" s="921"/>
      <c r="B56" s="919" t="s">
        <v>574</v>
      </c>
      <c r="C56" s="922"/>
      <c r="D56" s="923">
        <f>'[2]总投资-发采购-0411-GLP拆分场外费用(司调)'!G184</f>
        <v>9</v>
      </c>
      <c r="E56" s="928">
        <f t="shared" si="3"/>
        <v>1.2658227848101264</v>
      </c>
      <c r="F56" s="920">
        <v>1</v>
      </c>
      <c r="G56" s="924">
        <f t="shared" si="1"/>
        <v>9</v>
      </c>
      <c r="H56" s="606" t="s">
        <v>543</v>
      </c>
      <c r="I56" s="921" t="s">
        <v>30</v>
      </c>
      <c r="J56" s="921" t="s">
        <v>195</v>
      </c>
      <c r="K56" s="697" t="s">
        <v>544</v>
      </c>
      <c r="L56" s="930">
        <v>2025.3</v>
      </c>
      <c r="M56" s="930">
        <v>2025.4</v>
      </c>
      <c r="N56" s="930" t="s">
        <v>136</v>
      </c>
      <c r="O56" s="930">
        <v>2026.12</v>
      </c>
      <c r="P56" s="931"/>
    </row>
    <row r="57" spans="1:16" hidden="1">
      <c r="A57" s="921"/>
      <c r="B57" s="919" t="s">
        <v>575</v>
      </c>
      <c r="C57" s="922"/>
      <c r="D57" s="923">
        <f>'[2]总投资-发采购-0411-GLP拆分场外费用(司调)'!G185</f>
        <v>47</v>
      </c>
      <c r="E57" s="928">
        <f t="shared" si="3"/>
        <v>6.6104078762306608</v>
      </c>
      <c r="F57" s="920">
        <v>1</v>
      </c>
      <c r="G57" s="924">
        <f t="shared" si="1"/>
        <v>47</v>
      </c>
      <c r="H57" s="606" t="s">
        <v>543</v>
      </c>
      <c r="I57" s="921" t="s">
        <v>30</v>
      </c>
      <c r="J57" s="921" t="s">
        <v>195</v>
      </c>
      <c r="K57" s="697" t="s">
        <v>544</v>
      </c>
      <c r="L57" s="930">
        <v>2025.3</v>
      </c>
      <c r="M57" s="930">
        <v>2025.4</v>
      </c>
      <c r="N57" s="930" t="s">
        <v>136</v>
      </c>
      <c r="O57" s="930">
        <v>2026.12</v>
      </c>
      <c r="P57" s="931"/>
    </row>
    <row r="58" spans="1:16" hidden="1">
      <c r="A58" s="921">
        <v>2.16</v>
      </c>
      <c r="B58" s="919" t="s">
        <v>576</v>
      </c>
      <c r="C58" s="922"/>
      <c r="D58" s="923">
        <f>'[2]总投资-发采购-0411-GLP拆分场外费用(司调)'!G173</f>
        <v>11277.360138763701</v>
      </c>
      <c r="E58" s="928">
        <f t="shared" si="3"/>
        <v>1586.1266017951759</v>
      </c>
      <c r="F58" s="920">
        <v>1</v>
      </c>
      <c r="G58" s="924">
        <f t="shared" si="1"/>
        <v>11277.360138763701</v>
      </c>
      <c r="H58" s="606" t="s">
        <v>543</v>
      </c>
      <c r="I58" s="921" t="s">
        <v>30</v>
      </c>
      <c r="J58" s="921" t="s">
        <v>195</v>
      </c>
      <c r="K58" s="697" t="s">
        <v>544</v>
      </c>
      <c r="L58" s="930">
        <v>2025.3</v>
      </c>
      <c r="M58" s="930">
        <v>2025.4</v>
      </c>
      <c r="N58" s="930" t="s">
        <v>136</v>
      </c>
      <c r="O58" s="930">
        <v>2026.12</v>
      </c>
      <c r="P58" s="931"/>
    </row>
    <row r="59" spans="1:16" hidden="1">
      <c r="A59" s="921" t="s">
        <v>208</v>
      </c>
      <c r="B59" s="919" t="s">
        <v>577</v>
      </c>
      <c r="C59" s="922"/>
      <c r="D59" s="923">
        <f>'[2]总投资-发采购-0411-GLP拆分场外费用(司调)'!G174</f>
        <v>8671.0150149573092</v>
      </c>
      <c r="E59" s="928">
        <f t="shared" si="3"/>
        <v>1219.5520414848536</v>
      </c>
      <c r="F59" s="920">
        <v>1</v>
      </c>
      <c r="G59" s="924">
        <f t="shared" si="1"/>
        <v>8671.0150149573092</v>
      </c>
      <c r="H59" s="606" t="s">
        <v>543</v>
      </c>
      <c r="I59" s="921" t="s">
        <v>30</v>
      </c>
      <c r="J59" s="921" t="s">
        <v>195</v>
      </c>
      <c r="K59" s="697" t="s">
        <v>544</v>
      </c>
      <c r="L59" s="930">
        <v>2025.3</v>
      </c>
      <c r="M59" s="930">
        <v>2025.4</v>
      </c>
      <c r="N59" s="930" t="s">
        <v>136</v>
      </c>
      <c r="O59" s="930">
        <v>2026.12</v>
      </c>
      <c r="P59" s="931"/>
    </row>
    <row r="60" spans="1:16" hidden="1">
      <c r="A60" s="921" t="s">
        <v>209</v>
      </c>
      <c r="B60" s="919" t="s">
        <v>578</v>
      </c>
      <c r="C60" s="922"/>
      <c r="D60" s="923">
        <f>'[2]总投资-发采购-0411-GLP拆分场外费用(司调)'!G175</f>
        <v>29.26848</v>
      </c>
      <c r="E60" s="928">
        <f t="shared" si="3"/>
        <v>4.1165232067510544</v>
      </c>
      <c r="F60" s="920">
        <v>1</v>
      </c>
      <c r="G60" s="924">
        <f t="shared" si="1"/>
        <v>29.26848</v>
      </c>
      <c r="H60" s="606" t="s">
        <v>543</v>
      </c>
      <c r="I60" s="921" t="s">
        <v>30</v>
      </c>
      <c r="J60" s="921" t="s">
        <v>195</v>
      </c>
      <c r="K60" s="697" t="s">
        <v>544</v>
      </c>
      <c r="L60" s="930">
        <v>2025.3</v>
      </c>
      <c r="M60" s="930">
        <v>2025.4</v>
      </c>
      <c r="N60" s="930" t="s">
        <v>136</v>
      </c>
      <c r="O60" s="930">
        <v>2026.12</v>
      </c>
      <c r="P60" s="931"/>
    </row>
    <row r="61" spans="1:16" hidden="1">
      <c r="A61" s="921" t="s">
        <v>210</v>
      </c>
      <c r="B61" s="919" t="s">
        <v>579</v>
      </c>
      <c r="C61" s="922"/>
      <c r="D61" s="923">
        <f>'[2]总投资-发采购-0411-GLP拆分场外费用(司调)'!G176</f>
        <v>263.41631999999998</v>
      </c>
      <c r="E61" s="928">
        <f t="shared" si="3"/>
        <v>37.04870886075949</v>
      </c>
      <c r="F61" s="920">
        <v>1</v>
      </c>
      <c r="G61" s="924">
        <f t="shared" si="1"/>
        <v>263.41631999999998</v>
      </c>
      <c r="H61" s="606" t="s">
        <v>543</v>
      </c>
      <c r="I61" s="921" t="s">
        <v>30</v>
      </c>
      <c r="J61" s="921" t="s">
        <v>195</v>
      </c>
      <c r="K61" s="697" t="s">
        <v>544</v>
      </c>
      <c r="L61" s="930">
        <v>2025.3</v>
      </c>
      <c r="M61" s="930">
        <v>2025.4</v>
      </c>
      <c r="N61" s="930" t="s">
        <v>136</v>
      </c>
      <c r="O61" s="930">
        <v>2026.12</v>
      </c>
      <c r="P61" s="931"/>
    </row>
    <row r="62" spans="1:16" hidden="1">
      <c r="A62" s="921" t="s">
        <v>211</v>
      </c>
      <c r="B62" s="919" t="s">
        <v>580</v>
      </c>
      <c r="C62" s="922"/>
      <c r="D62" s="923">
        <f>'[2]总投资-发采购-0411-GLP拆分场外费用(司调)'!G177</f>
        <v>204.87935999999999</v>
      </c>
      <c r="E62" s="928">
        <f t="shared" si="3"/>
        <v>28.815662447257381</v>
      </c>
      <c r="F62" s="920">
        <v>1</v>
      </c>
      <c r="G62" s="924">
        <f t="shared" si="1"/>
        <v>204.87935999999999</v>
      </c>
      <c r="H62" s="606" t="s">
        <v>543</v>
      </c>
      <c r="I62" s="921" t="s">
        <v>30</v>
      </c>
      <c r="J62" s="921" t="s">
        <v>195</v>
      </c>
      <c r="K62" s="697" t="s">
        <v>544</v>
      </c>
      <c r="L62" s="930">
        <v>2025.3</v>
      </c>
      <c r="M62" s="930">
        <v>2025.4</v>
      </c>
      <c r="N62" s="930" t="s">
        <v>136</v>
      </c>
      <c r="O62" s="930">
        <v>2026.12</v>
      </c>
      <c r="P62" s="931"/>
    </row>
    <row r="63" spans="1:16" hidden="1">
      <c r="A63" s="921" t="s">
        <v>212</v>
      </c>
      <c r="B63" s="919" t="s">
        <v>581</v>
      </c>
      <c r="C63" s="922"/>
      <c r="D63" s="923">
        <f>'[2]总投资-发采购-0411-GLP拆分场外费用(司调)'!G178</f>
        <v>453.66144000000003</v>
      </c>
      <c r="E63" s="928">
        <f t="shared" si="3"/>
        <v>63.806109704641351</v>
      </c>
      <c r="F63" s="920">
        <v>1</v>
      </c>
      <c r="G63" s="924">
        <f t="shared" si="1"/>
        <v>453.66144000000003</v>
      </c>
      <c r="H63" s="606" t="s">
        <v>543</v>
      </c>
      <c r="I63" s="921" t="s">
        <v>30</v>
      </c>
      <c r="J63" s="921" t="s">
        <v>195</v>
      </c>
      <c r="K63" s="697" t="s">
        <v>544</v>
      </c>
      <c r="L63" s="930">
        <v>2025.3</v>
      </c>
      <c r="M63" s="930">
        <v>2025.4</v>
      </c>
      <c r="N63" s="930" t="s">
        <v>136</v>
      </c>
      <c r="O63" s="930">
        <v>2026.12</v>
      </c>
      <c r="P63" s="931"/>
    </row>
    <row r="64" spans="1:16" hidden="1">
      <c r="A64" s="921" t="s">
        <v>213</v>
      </c>
      <c r="B64" s="919" t="s">
        <v>582</v>
      </c>
      <c r="C64" s="922"/>
      <c r="D64" s="923">
        <f>'[2]总投资-发采购-0411-GLP拆分场外费用(司调)'!G179</f>
        <v>125.01274900539801</v>
      </c>
      <c r="E64" s="928">
        <f t="shared" si="3"/>
        <v>17.582665120309141</v>
      </c>
      <c r="F64" s="920">
        <v>1</v>
      </c>
      <c r="G64" s="924">
        <f t="shared" si="1"/>
        <v>125.01274900539801</v>
      </c>
      <c r="H64" s="606" t="s">
        <v>543</v>
      </c>
      <c r="I64" s="921" t="s">
        <v>30</v>
      </c>
      <c r="J64" s="921" t="s">
        <v>195</v>
      </c>
      <c r="K64" s="697" t="s">
        <v>544</v>
      </c>
      <c r="L64" s="930">
        <v>2025.3</v>
      </c>
      <c r="M64" s="930">
        <v>2025.4</v>
      </c>
      <c r="N64" s="930" t="s">
        <v>136</v>
      </c>
      <c r="O64" s="930">
        <v>2026.12</v>
      </c>
      <c r="P64" s="931"/>
    </row>
    <row r="65" spans="1:16" hidden="1">
      <c r="A65" s="921" t="s">
        <v>214</v>
      </c>
      <c r="B65" s="919" t="s">
        <v>583</v>
      </c>
      <c r="C65" s="922"/>
      <c r="D65" s="923">
        <f>'[2]总投资-发采购-0411-GLP拆分场外费用(司调)'!G180</f>
        <v>457.32</v>
      </c>
      <c r="E65" s="928">
        <f t="shared" si="3"/>
        <v>64.320675105485222</v>
      </c>
      <c r="F65" s="920">
        <v>1</v>
      </c>
      <c r="G65" s="924">
        <f t="shared" si="1"/>
        <v>457.32</v>
      </c>
      <c r="H65" s="606" t="s">
        <v>543</v>
      </c>
      <c r="I65" s="921" t="s">
        <v>30</v>
      </c>
      <c r="J65" s="921" t="s">
        <v>195</v>
      </c>
      <c r="K65" s="697" t="s">
        <v>544</v>
      </c>
      <c r="L65" s="930">
        <v>2025.3</v>
      </c>
      <c r="M65" s="930">
        <v>2025.4</v>
      </c>
      <c r="N65" s="930" t="s">
        <v>136</v>
      </c>
      <c r="O65" s="930">
        <v>2026.12</v>
      </c>
      <c r="P65" s="931"/>
    </row>
    <row r="66" spans="1:16" hidden="1">
      <c r="A66" s="921"/>
      <c r="B66" s="919" t="s">
        <v>584</v>
      </c>
      <c r="C66" s="922"/>
      <c r="D66" s="923">
        <f>'[2]总投资-发采购-0411-GLP拆分场外费用(司调)'!G181</f>
        <v>1015.78677480099</v>
      </c>
      <c r="E66" s="928">
        <f t="shared" si="3"/>
        <v>142.86733822798732</v>
      </c>
      <c r="F66" s="920">
        <v>1</v>
      </c>
      <c r="G66" s="924">
        <f t="shared" si="1"/>
        <v>1015.78677480099</v>
      </c>
      <c r="H66" s="606" t="s">
        <v>543</v>
      </c>
      <c r="I66" s="921"/>
      <c r="J66" s="921"/>
      <c r="K66" s="697" t="s">
        <v>544</v>
      </c>
      <c r="L66" s="930"/>
      <c r="M66" s="930"/>
      <c r="N66" s="930"/>
      <c r="O66" s="930"/>
      <c r="P66" s="931"/>
    </row>
    <row r="67" spans="1:16" hidden="1">
      <c r="A67" s="921" t="s">
        <v>215</v>
      </c>
      <c r="B67" s="919" t="s">
        <v>585</v>
      </c>
      <c r="C67" s="922"/>
      <c r="D67" s="923">
        <f>'[2]总投资-发采购-0411-GLP拆分场外费用(司调)'!G182</f>
        <v>57</v>
      </c>
      <c r="E67" s="928">
        <f t="shared" si="3"/>
        <v>8.0168776371308006</v>
      </c>
      <c r="F67" s="920">
        <v>1</v>
      </c>
      <c r="G67" s="924">
        <f t="shared" si="1"/>
        <v>57</v>
      </c>
      <c r="H67" s="606" t="s">
        <v>543</v>
      </c>
      <c r="I67" s="921" t="s">
        <v>30</v>
      </c>
      <c r="J67" s="921" t="s">
        <v>195</v>
      </c>
      <c r="K67" s="697" t="s">
        <v>544</v>
      </c>
      <c r="L67" s="930">
        <v>2025.3</v>
      </c>
      <c r="M67" s="930">
        <v>2025.4</v>
      </c>
      <c r="N67" s="930" t="s">
        <v>136</v>
      </c>
      <c r="O67" s="930">
        <v>2026.12</v>
      </c>
      <c r="P67" s="931"/>
    </row>
    <row r="68" spans="1:16" hidden="1">
      <c r="A68" s="921"/>
      <c r="B68" s="919" t="s">
        <v>586</v>
      </c>
      <c r="C68" s="922"/>
      <c r="D68" s="923">
        <f>'[2]总投资-发采购-0411-GLP拆分场外费用(司调)'!G183</f>
        <v>1</v>
      </c>
      <c r="E68" s="928">
        <f t="shared" si="3"/>
        <v>0.14064697609001406</v>
      </c>
      <c r="F68" s="920">
        <v>1</v>
      </c>
      <c r="G68" s="924">
        <f t="shared" si="1"/>
        <v>1</v>
      </c>
      <c r="H68" s="606" t="s">
        <v>543</v>
      </c>
      <c r="I68" s="921" t="s">
        <v>30</v>
      </c>
      <c r="J68" s="921" t="s">
        <v>195</v>
      </c>
      <c r="K68" s="697" t="s">
        <v>544</v>
      </c>
      <c r="L68" s="930">
        <v>2025.3</v>
      </c>
      <c r="M68" s="930">
        <v>2025.4</v>
      </c>
      <c r="N68" s="930" t="s">
        <v>136</v>
      </c>
      <c r="O68" s="930">
        <v>2026.12</v>
      </c>
      <c r="P68" s="931"/>
    </row>
    <row r="69" spans="1:16" hidden="1">
      <c r="A69" s="921"/>
      <c r="B69" s="919" t="s">
        <v>587</v>
      </c>
      <c r="C69" s="922"/>
      <c r="D69" s="923">
        <f>'[2]总投资-发采购-0411-GLP拆分场外费用(司调)'!G184</f>
        <v>9</v>
      </c>
      <c r="E69" s="928">
        <f t="shared" si="3"/>
        <v>1.2658227848101264</v>
      </c>
      <c r="F69" s="920">
        <v>1</v>
      </c>
      <c r="G69" s="924">
        <f t="shared" si="1"/>
        <v>9</v>
      </c>
      <c r="H69" s="606" t="s">
        <v>543</v>
      </c>
      <c r="I69" s="921" t="s">
        <v>30</v>
      </c>
      <c r="J69" s="921" t="s">
        <v>195</v>
      </c>
      <c r="K69" s="697" t="s">
        <v>544</v>
      </c>
      <c r="L69" s="930">
        <v>2025.3</v>
      </c>
      <c r="M69" s="930">
        <v>2025.4</v>
      </c>
      <c r="N69" s="930" t="s">
        <v>136</v>
      </c>
      <c r="O69" s="930">
        <v>2026.12</v>
      </c>
      <c r="P69" s="931"/>
    </row>
    <row r="70" spans="1:16" hidden="1">
      <c r="A70" s="921"/>
      <c r="B70" s="919" t="s">
        <v>588</v>
      </c>
      <c r="C70" s="922"/>
      <c r="D70" s="923">
        <f>'[2]总投资-发采购-0411-GLP拆分场外费用(司调)'!G185</f>
        <v>47</v>
      </c>
      <c r="E70" s="928">
        <f t="shared" si="3"/>
        <v>6.6104078762306608</v>
      </c>
      <c r="F70" s="920">
        <v>1</v>
      </c>
      <c r="G70" s="924">
        <f t="shared" si="1"/>
        <v>47</v>
      </c>
      <c r="H70" s="606" t="s">
        <v>543</v>
      </c>
      <c r="I70" s="921" t="s">
        <v>30</v>
      </c>
      <c r="J70" s="921" t="s">
        <v>195</v>
      </c>
      <c r="K70" s="697" t="s">
        <v>544</v>
      </c>
      <c r="L70" s="930">
        <v>2025.3</v>
      </c>
      <c r="M70" s="930">
        <v>2025.4</v>
      </c>
      <c r="N70" s="930" t="s">
        <v>136</v>
      </c>
      <c r="O70" s="930">
        <v>2026.12</v>
      </c>
      <c r="P70" s="931"/>
    </row>
    <row r="71" spans="1:16" hidden="1">
      <c r="A71" s="921" t="s">
        <v>216</v>
      </c>
      <c r="B71" s="919" t="s">
        <v>589</v>
      </c>
      <c r="C71" s="922"/>
      <c r="D71" s="923">
        <f>'[2]总投资-发采购-0411-GLP拆分场外费用(司调)'!G202</f>
        <v>4178.7488000000003</v>
      </c>
      <c r="E71" s="928">
        <f t="shared" si="3"/>
        <v>587.72838255977501</v>
      </c>
      <c r="F71" s="920">
        <v>1</v>
      </c>
      <c r="G71" s="924">
        <f t="shared" si="1"/>
        <v>4178.7488000000003</v>
      </c>
      <c r="H71" s="606" t="s">
        <v>543</v>
      </c>
      <c r="I71" s="921"/>
      <c r="J71" s="921"/>
      <c r="K71" s="697" t="s">
        <v>544</v>
      </c>
      <c r="L71" s="930"/>
      <c r="M71" s="930"/>
      <c r="N71" s="930"/>
      <c r="O71" s="930"/>
      <c r="P71" s="931"/>
    </row>
    <row r="72" spans="1:16" hidden="1">
      <c r="A72" s="921" t="s">
        <v>218</v>
      </c>
      <c r="B72" s="919" t="s">
        <v>590</v>
      </c>
      <c r="C72" s="922"/>
      <c r="D72" s="923">
        <f>'[2]总投资-发采购-0411-GLP拆分场外费用(司调)'!G203</f>
        <v>4053.386336</v>
      </c>
      <c r="E72" s="928">
        <f t="shared" ref="E72:E75" si="4">D72/$A$3</f>
        <v>570.09653108298164</v>
      </c>
      <c r="F72" s="920">
        <v>1</v>
      </c>
      <c r="G72" s="924">
        <f t="shared" ref="G72:G135" si="5">D72</f>
        <v>4053.386336</v>
      </c>
      <c r="H72" s="606" t="s">
        <v>543</v>
      </c>
      <c r="I72" s="921"/>
      <c r="J72" s="921"/>
      <c r="K72" s="697" t="s">
        <v>544</v>
      </c>
      <c r="L72" s="930"/>
      <c r="M72" s="930"/>
      <c r="N72" s="930"/>
      <c r="O72" s="930"/>
      <c r="P72" s="931"/>
    </row>
    <row r="73" spans="1:16" hidden="1">
      <c r="A73" s="921" t="s">
        <v>220</v>
      </c>
      <c r="B73" s="919" t="s">
        <v>591</v>
      </c>
      <c r="C73" s="922"/>
      <c r="D73" s="923">
        <f>'[2]总投资-发采购-0411-GLP拆分场外费用(司调)'!G204</f>
        <v>125.362464</v>
      </c>
      <c r="E73" s="928">
        <f t="shared" si="4"/>
        <v>17.631851476793248</v>
      </c>
      <c r="F73" s="920">
        <v>1</v>
      </c>
      <c r="G73" s="924">
        <f t="shared" si="5"/>
        <v>125.362464</v>
      </c>
      <c r="H73" s="606" t="s">
        <v>543</v>
      </c>
      <c r="I73" s="921"/>
      <c r="J73" s="921"/>
      <c r="K73" s="697" t="s">
        <v>544</v>
      </c>
      <c r="L73" s="930"/>
      <c r="M73" s="930"/>
      <c r="N73" s="930"/>
      <c r="O73" s="930"/>
      <c r="P73" s="931"/>
    </row>
    <row r="74" spans="1:16" ht="13.05" customHeight="1">
      <c r="A74" s="606" t="s">
        <v>35</v>
      </c>
      <c r="B74" s="919" t="s">
        <v>592</v>
      </c>
      <c r="C74" s="709" t="s">
        <v>593</v>
      </c>
      <c r="D74" s="710">
        <f>SUM('[2]总投资-发采购-0411-GLP拆分场外费用(司调)'!G108,'[2]总投资-发采购-0411-GLP拆分场外费用(司调)'!G121,'[2]总投资-发采购-0411-GLP拆分场外费用(司调)'!G95,'[2]总投资-发采购-0411-GLP拆分场外费用(司调)'!G199)</f>
        <v>54208.013061394893</v>
      </c>
      <c r="E74" s="711">
        <f t="shared" si="4"/>
        <v>7624.1931169331774</v>
      </c>
      <c r="F74" s="920">
        <v>1</v>
      </c>
      <c r="G74" s="712">
        <f t="shared" si="5"/>
        <v>54208.013061394893</v>
      </c>
      <c r="H74" s="606" t="s">
        <v>543</v>
      </c>
      <c r="I74" s="606" t="s">
        <v>79</v>
      </c>
      <c r="J74" s="606">
        <v>18</v>
      </c>
      <c r="K74" s="697" t="s">
        <v>31</v>
      </c>
      <c r="L74" s="738" t="s">
        <v>225</v>
      </c>
      <c r="M74" s="738" t="s">
        <v>226</v>
      </c>
      <c r="N74" s="738" t="s">
        <v>227</v>
      </c>
      <c r="O74" s="738" t="s">
        <v>228</v>
      </c>
      <c r="P74" s="697"/>
    </row>
    <row r="75" spans="1:16" hidden="1">
      <c r="A75" s="921">
        <v>2.1</v>
      </c>
      <c r="B75" s="919" t="s">
        <v>594</v>
      </c>
      <c r="C75" s="922"/>
      <c r="D75" s="923">
        <f>'[2]总投资-发采购-0411-GLP拆分场外费用(司调)'!G108</f>
        <v>15502.4051499249</v>
      </c>
      <c r="E75" s="928">
        <f t="shared" si="4"/>
        <v>2180.3664064591981</v>
      </c>
      <c r="F75" s="920">
        <v>1</v>
      </c>
      <c r="G75" s="924">
        <f t="shared" si="5"/>
        <v>15502.4051499249</v>
      </c>
      <c r="H75" s="606" t="s">
        <v>543</v>
      </c>
      <c r="I75" s="921"/>
      <c r="J75" s="921"/>
      <c r="K75" s="697" t="s">
        <v>544</v>
      </c>
      <c r="L75" s="930"/>
      <c r="M75" s="930"/>
      <c r="N75" s="930"/>
      <c r="O75" s="930"/>
      <c r="P75" s="931"/>
    </row>
    <row r="76" spans="1:16" hidden="1">
      <c r="A76" s="921" t="s">
        <v>230</v>
      </c>
      <c r="B76" s="919" t="s">
        <v>595</v>
      </c>
      <c r="C76" s="922"/>
      <c r="D76" s="923">
        <f>'[2]总投资-发采购-0411-GLP拆分场外费用(司调)'!G109</f>
        <v>12124.859358359399</v>
      </c>
      <c r="E76" s="928">
        <f t="shared" ref="E76:E113" si="6">D76/$A$3</f>
        <v>1705.3248042699577</v>
      </c>
      <c r="F76" s="920">
        <v>1</v>
      </c>
      <c r="G76" s="924">
        <f t="shared" si="5"/>
        <v>12124.859358359399</v>
      </c>
      <c r="H76" s="606" t="s">
        <v>543</v>
      </c>
      <c r="I76" s="921"/>
      <c r="J76" s="921"/>
      <c r="K76" s="697" t="s">
        <v>544</v>
      </c>
      <c r="L76" s="930"/>
      <c r="M76" s="930"/>
      <c r="N76" s="930"/>
      <c r="O76" s="930"/>
      <c r="P76" s="931"/>
    </row>
    <row r="77" spans="1:16" hidden="1">
      <c r="A77" s="921" t="s">
        <v>231</v>
      </c>
      <c r="B77" s="919" t="s">
        <v>596</v>
      </c>
      <c r="C77" s="922"/>
      <c r="D77" s="923">
        <f>'[2]总投资-发采购-0411-GLP拆分场外费用(司调)'!G110</f>
        <v>40.926720000000003</v>
      </c>
      <c r="E77" s="928">
        <f t="shared" si="6"/>
        <v>5.7562194092827008</v>
      </c>
      <c r="F77" s="920">
        <v>1</v>
      </c>
      <c r="G77" s="924">
        <f t="shared" si="5"/>
        <v>40.926720000000003</v>
      </c>
      <c r="H77" s="606" t="s">
        <v>543</v>
      </c>
      <c r="I77" s="921"/>
      <c r="J77" s="921"/>
      <c r="K77" s="697" t="s">
        <v>544</v>
      </c>
      <c r="L77" s="930"/>
      <c r="M77" s="930"/>
      <c r="N77" s="930"/>
      <c r="O77" s="930"/>
      <c r="P77" s="931"/>
    </row>
    <row r="78" spans="1:16" hidden="1">
      <c r="A78" s="921" t="s">
        <v>232</v>
      </c>
      <c r="B78" s="919" t="s">
        <v>597</v>
      </c>
      <c r="C78" s="922"/>
      <c r="D78" s="923">
        <f>'[2]总投资-发采购-0411-GLP拆分场外费用(司调)'!G111</f>
        <v>368.34048000000001</v>
      </c>
      <c r="E78" s="928">
        <f t="shared" si="6"/>
        <v>51.805974683544306</v>
      </c>
      <c r="F78" s="920">
        <v>1</v>
      </c>
      <c r="G78" s="924">
        <f t="shared" si="5"/>
        <v>368.34048000000001</v>
      </c>
      <c r="H78" s="606" t="s">
        <v>543</v>
      </c>
      <c r="I78" s="921"/>
      <c r="J78" s="921"/>
      <c r="K78" s="697" t="s">
        <v>544</v>
      </c>
      <c r="L78" s="930"/>
      <c r="M78" s="930"/>
      <c r="N78" s="930"/>
      <c r="O78" s="930"/>
      <c r="P78" s="931"/>
    </row>
    <row r="79" spans="1:16" hidden="1">
      <c r="A79" s="921" t="s">
        <v>233</v>
      </c>
      <c r="B79" s="919" t="s">
        <v>598</v>
      </c>
      <c r="C79" s="922"/>
      <c r="D79" s="923">
        <f>'[2]总投资-发采购-0411-GLP拆分场外费用(司调)'!G112</f>
        <v>286.48703999999998</v>
      </c>
      <c r="E79" s="928">
        <f t="shared" si="6"/>
        <v>40.293535864978899</v>
      </c>
      <c r="F79" s="920">
        <v>1</v>
      </c>
      <c r="G79" s="924">
        <f t="shared" si="5"/>
        <v>286.48703999999998</v>
      </c>
      <c r="H79" s="606" t="s">
        <v>543</v>
      </c>
      <c r="I79" s="921"/>
      <c r="J79" s="921"/>
      <c r="K79" s="697" t="s">
        <v>544</v>
      </c>
      <c r="L79" s="930"/>
      <c r="M79" s="930"/>
      <c r="N79" s="930"/>
      <c r="O79" s="930"/>
      <c r="P79" s="931"/>
    </row>
    <row r="80" spans="1:16" hidden="1">
      <c r="A80" s="921" t="s">
        <v>234</v>
      </c>
      <c r="B80" s="919" t="s">
        <v>599</v>
      </c>
      <c r="C80" s="922"/>
      <c r="D80" s="923">
        <f>'[2]总投资-发采购-0411-GLP拆分场外费用(司调)'!G113</f>
        <v>634.36415999999997</v>
      </c>
      <c r="E80" s="928">
        <f t="shared" si="6"/>
        <v>89.221400843881852</v>
      </c>
      <c r="F80" s="920">
        <v>1</v>
      </c>
      <c r="G80" s="924">
        <f t="shared" si="5"/>
        <v>634.36415999999997</v>
      </c>
      <c r="H80" s="606" t="s">
        <v>543</v>
      </c>
      <c r="I80" s="921"/>
      <c r="J80" s="921"/>
      <c r="K80" s="697" t="s">
        <v>544</v>
      </c>
      <c r="L80" s="930"/>
      <c r="M80" s="930"/>
      <c r="N80" s="930"/>
      <c r="O80" s="930"/>
      <c r="P80" s="931"/>
    </row>
    <row r="81" spans="1:16" hidden="1">
      <c r="A81" s="921" t="s">
        <v>235</v>
      </c>
      <c r="B81" s="919" t="s">
        <v>600</v>
      </c>
      <c r="C81" s="922"/>
      <c r="D81" s="923">
        <f>'[2]总投资-发采购-0411-GLP拆分场外费用(司调)'!G114</f>
        <v>174.807908541004</v>
      </c>
      <c r="E81" s="928">
        <f t="shared" si="6"/>
        <v>24.586203732911954</v>
      </c>
      <c r="F81" s="920">
        <v>1</v>
      </c>
      <c r="G81" s="924">
        <f t="shared" si="5"/>
        <v>174.807908541004</v>
      </c>
      <c r="H81" s="606" t="s">
        <v>543</v>
      </c>
      <c r="I81" s="921"/>
      <c r="J81" s="921"/>
      <c r="K81" s="697" t="s">
        <v>544</v>
      </c>
      <c r="L81" s="930"/>
      <c r="M81" s="930"/>
      <c r="N81" s="930"/>
      <c r="O81" s="930"/>
      <c r="P81" s="931"/>
    </row>
    <row r="82" spans="1:16" hidden="1">
      <c r="A82" s="921" t="s">
        <v>236</v>
      </c>
      <c r="B82" s="919" t="s">
        <v>601</v>
      </c>
      <c r="C82" s="922"/>
      <c r="D82" s="923">
        <f>'[2]总投资-发采购-0411-GLP拆分场外费用(司调)'!G115</f>
        <v>639.48</v>
      </c>
      <c r="E82" s="928">
        <f t="shared" si="6"/>
        <v>89.940928270042193</v>
      </c>
      <c r="F82" s="920">
        <v>1</v>
      </c>
      <c r="G82" s="924">
        <f t="shared" si="5"/>
        <v>639.48</v>
      </c>
      <c r="H82" s="606" t="s">
        <v>543</v>
      </c>
      <c r="I82" s="921"/>
      <c r="J82" s="921"/>
      <c r="K82" s="697" t="s">
        <v>544</v>
      </c>
      <c r="L82" s="930"/>
      <c r="M82" s="930"/>
      <c r="N82" s="930"/>
      <c r="O82" s="930"/>
      <c r="P82" s="931"/>
    </row>
    <row r="83" spans="1:16" hidden="1">
      <c r="A83" s="921"/>
      <c r="B83" s="919" t="s">
        <v>602</v>
      </c>
      <c r="C83" s="922"/>
      <c r="D83" s="923">
        <f>'[2]总投资-发采购-0411-GLP拆分场外费用(司调)'!G116</f>
        <v>1161.1394830245599</v>
      </c>
      <c r="E83" s="928">
        <f t="shared" si="6"/>
        <v>163.31075710612657</v>
      </c>
      <c r="F83" s="920">
        <v>1</v>
      </c>
      <c r="G83" s="924">
        <f t="shared" si="5"/>
        <v>1161.1394830245599</v>
      </c>
      <c r="H83" s="606" t="s">
        <v>543</v>
      </c>
      <c r="I83" s="921"/>
      <c r="J83" s="921"/>
      <c r="K83" s="697" t="s">
        <v>544</v>
      </c>
      <c r="L83" s="930"/>
      <c r="M83" s="930"/>
      <c r="N83" s="930"/>
      <c r="O83" s="930"/>
      <c r="P83" s="931"/>
    </row>
    <row r="84" spans="1:16" hidden="1">
      <c r="A84" s="921" t="s">
        <v>237</v>
      </c>
      <c r="B84" s="919" t="s">
        <v>603</v>
      </c>
      <c r="C84" s="922"/>
      <c r="D84" s="923">
        <f>'[2]总投资-发采购-0411-GLP拆分场外费用(司调)'!G117</f>
        <v>72</v>
      </c>
      <c r="E84" s="928">
        <f t="shared" si="6"/>
        <v>10.126582278481012</v>
      </c>
      <c r="F84" s="920">
        <v>1</v>
      </c>
      <c r="G84" s="924">
        <f t="shared" si="5"/>
        <v>72</v>
      </c>
      <c r="H84" s="606" t="s">
        <v>543</v>
      </c>
      <c r="I84" s="921"/>
      <c r="J84" s="921"/>
      <c r="K84" s="697" t="s">
        <v>544</v>
      </c>
      <c r="L84" s="930"/>
      <c r="M84" s="930"/>
      <c r="N84" s="930"/>
      <c r="O84" s="930"/>
      <c r="P84" s="931"/>
    </row>
    <row r="85" spans="1:16" hidden="1">
      <c r="A85" s="921"/>
      <c r="B85" s="919" t="s">
        <v>604</v>
      </c>
      <c r="C85" s="922"/>
      <c r="D85" s="923">
        <f>'[2]总投资-发采购-0411-GLP拆分场外费用(司调)'!G118</f>
        <v>1</v>
      </c>
      <c r="E85" s="928">
        <f t="shared" si="6"/>
        <v>0.14064697609001406</v>
      </c>
      <c r="F85" s="920">
        <v>1</v>
      </c>
      <c r="G85" s="924">
        <f t="shared" si="5"/>
        <v>1</v>
      </c>
      <c r="H85" s="606" t="s">
        <v>543</v>
      </c>
      <c r="I85" s="921"/>
      <c r="J85" s="921"/>
      <c r="K85" s="697" t="s">
        <v>544</v>
      </c>
      <c r="L85" s="930"/>
      <c r="M85" s="930"/>
      <c r="N85" s="930"/>
      <c r="O85" s="930"/>
      <c r="P85" s="931"/>
    </row>
    <row r="86" spans="1:16" hidden="1">
      <c r="A86" s="921"/>
      <c r="B86" s="919" t="s">
        <v>605</v>
      </c>
      <c r="C86" s="922"/>
      <c r="D86" s="923">
        <f>'[2]总投资-发采购-0411-GLP拆分场外费用(司调)'!G119</f>
        <v>13</v>
      </c>
      <c r="E86" s="928">
        <f t="shared" si="6"/>
        <v>1.8284106891701828</v>
      </c>
      <c r="F86" s="920">
        <v>1</v>
      </c>
      <c r="G86" s="924">
        <f t="shared" si="5"/>
        <v>13</v>
      </c>
      <c r="H86" s="606" t="s">
        <v>543</v>
      </c>
      <c r="I86" s="921"/>
      <c r="J86" s="921"/>
      <c r="K86" s="697" t="s">
        <v>544</v>
      </c>
      <c r="L86" s="930"/>
      <c r="M86" s="930"/>
      <c r="N86" s="930"/>
      <c r="O86" s="930"/>
      <c r="P86" s="931"/>
    </row>
    <row r="87" spans="1:16" hidden="1">
      <c r="A87" s="921"/>
      <c r="B87" s="919" t="s">
        <v>606</v>
      </c>
      <c r="C87" s="922"/>
      <c r="D87" s="923">
        <f>'[2]总投资-发采购-0411-GLP拆分场外费用(司调)'!G120</f>
        <v>58</v>
      </c>
      <c r="E87" s="928">
        <f t="shared" si="6"/>
        <v>8.157524613220815</v>
      </c>
      <c r="F87" s="920">
        <v>1</v>
      </c>
      <c r="G87" s="924">
        <f t="shared" si="5"/>
        <v>58</v>
      </c>
      <c r="H87" s="606" t="s">
        <v>543</v>
      </c>
      <c r="I87" s="921"/>
      <c r="J87" s="921"/>
      <c r="K87" s="697" t="s">
        <v>544</v>
      </c>
      <c r="L87" s="930"/>
      <c r="M87" s="930"/>
      <c r="N87" s="930"/>
      <c r="O87" s="930"/>
      <c r="P87" s="931"/>
    </row>
    <row r="88" spans="1:16" hidden="1">
      <c r="A88" s="921">
        <v>2.11</v>
      </c>
      <c r="B88" s="919" t="s">
        <v>607</v>
      </c>
      <c r="C88" s="922"/>
      <c r="D88" s="923">
        <f>'[2]总投资-发采购-0411-GLP拆分场外费用(司调)'!G121</f>
        <v>15296.8552463777</v>
      </c>
      <c r="E88" s="928">
        <f t="shared" si="6"/>
        <v>2151.4564340896904</v>
      </c>
      <c r="F88" s="920">
        <v>1</v>
      </c>
      <c r="G88" s="924">
        <f t="shared" si="5"/>
        <v>15296.8552463777</v>
      </c>
      <c r="H88" s="606" t="s">
        <v>543</v>
      </c>
      <c r="I88" s="921"/>
      <c r="J88" s="921"/>
      <c r="K88" s="697" t="s">
        <v>544</v>
      </c>
      <c r="L88" s="930"/>
      <c r="M88" s="930"/>
      <c r="N88" s="930"/>
      <c r="O88" s="930"/>
      <c r="P88" s="931"/>
    </row>
    <row r="89" spans="1:16" hidden="1">
      <c r="A89" s="921" t="s">
        <v>239</v>
      </c>
      <c r="B89" s="919" t="s">
        <v>608</v>
      </c>
      <c r="C89" s="922"/>
      <c r="D89" s="923">
        <f>'[2]总投资-发采购-0411-GLP拆分场外费用(司调)'!G122</f>
        <v>12124.859358359399</v>
      </c>
      <c r="E89" s="928">
        <f t="shared" si="6"/>
        <v>1705.3248042699577</v>
      </c>
      <c r="F89" s="920">
        <v>1</v>
      </c>
      <c r="G89" s="924">
        <f t="shared" si="5"/>
        <v>12124.859358359399</v>
      </c>
      <c r="H89" s="606" t="s">
        <v>543</v>
      </c>
      <c r="I89" s="921"/>
      <c r="J89" s="921"/>
      <c r="K89" s="697" t="s">
        <v>544</v>
      </c>
      <c r="L89" s="930"/>
      <c r="M89" s="930"/>
      <c r="N89" s="930"/>
      <c r="O89" s="930"/>
      <c r="P89" s="931"/>
    </row>
    <row r="90" spans="1:16" hidden="1">
      <c r="A90" s="921" t="s">
        <v>240</v>
      </c>
      <c r="B90" s="919" t="s">
        <v>609</v>
      </c>
      <c r="C90" s="922"/>
      <c r="D90" s="923">
        <f>'[2]总投资-发采购-0411-GLP拆分场外费用(司调)'!G123</f>
        <v>40.926720000000003</v>
      </c>
      <c r="E90" s="928">
        <f t="shared" si="6"/>
        <v>5.7562194092827008</v>
      </c>
      <c r="F90" s="920">
        <v>1</v>
      </c>
      <c r="G90" s="924">
        <f t="shared" si="5"/>
        <v>40.926720000000003</v>
      </c>
      <c r="H90" s="606" t="s">
        <v>543</v>
      </c>
      <c r="I90" s="921"/>
      <c r="J90" s="921"/>
      <c r="K90" s="697" t="s">
        <v>544</v>
      </c>
      <c r="L90" s="930"/>
      <c r="M90" s="930"/>
      <c r="N90" s="930"/>
      <c r="O90" s="930"/>
      <c r="P90" s="931"/>
    </row>
    <row r="91" spans="1:16" hidden="1">
      <c r="A91" s="921" t="s">
        <v>241</v>
      </c>
      <c r="B91" s="919" t="s">
        <v>610</v>
      </c>
      <c r="C91" s="922"/>
      <c r="D91" s="923">
        <f>'[2]总投资-发采购-0411-GLP拆分场外费用(司调)'!G124</f>
        <v>368.34048000000001</v>
      </c>
      <c r="E91" s="928">
        <f t="shared" si="6"/>
        <v>51.805974683544306</v>
      </c>
      <c r="F91" s="920">
        <v>1</v>
      </c>
      <c r="G91" s="924">
        <f t="shared" si="5"/>
        <v>368.34048000000001</v>
      </c>
      <c r="H91" s="606" t="s">
        <v>543</v>
      </c>
      <c r="I91" s="921"/>
      <c r="J91" s="921"/>
      <c r="K91" s="697" t="s">
        <v>544</v>
      </c>
      <c r="L91" s="930"/>
      <c r="M91" s="930"/>
      <c r="N91" s="930"/>
      <c r="O91" s="930"/>
      <c r="P91" s="931"/>
    </row>
    <row r="92" spans="1:16" hidden="1">
      <c r="A92" s="921" t="s">
        <v>242</v>
      </c>
      <c r="B92" s="919" t="s">
        <v>611</v>
      </c>
      <c r="C92" s="922"/>
      <c r="D92" s="923">
        <f>'[2]总投资-发采购-0411-GLP拆分场外费用(司调)'!G125</f>
        <v>286.48703999999998</v>
      </c>
      <c r="E92" s="928">
        <f t="shared" si="6"/>
        <v>40.293535864978899</v>
      </c>
      <c r="F92" s="920">
        <v>1</v>
      </c>
      <c r="G92" s="924">
        <f t="shared" si="5"/>
        <v>286.48703999999998</v>
      </c>
      <c r="H92" s="606" t="s">
        <v>543</v>
      </c>
      <c r="I92" s="921"/>
      <c r="J92" s="921"/>
      <c r="K92" s="697" t="s">
        <v>544</v>
      </c>
      <c r="L92" s="930"/>
      <c r="M92" s="930"/>
      <c r="N92" s="930"/>
      <c r="O92" s="930"/>
      <c r="P92" s="931"/>
    </row>
    <row r="93" spans="1:16" hidden="1">
      <c r="A93" s="921" t="s">
        <v>243</v>
      </c>
      <c r="B93" s="919" t="s">
        <v>612</v>
      </c>
      <c r="C93" s="922"/>
      <c r="D93" s="923">
        <f>'[2]总投资-发采购-0411-GLP拆分场外费用(司调)'!G126</f>
        <v>634.36415999999997</v>
      </c>
      <c r="E93" s="928">
        <f t="shared" si="6"/>
        <v>89.221400843881852</v>
      </c>
      <c r="F93" s="920">
        <v>1</v>
      </c>
      <c r="G93" s="924">
        <f t="shared" si="5"/>
        <v>634.36415999999997</v>
      </c>
      <c r="H93" s="606" t="s">
        <v>543</v>
      </c>
      <c r="I93" s="921"/>
      <c r="J93" s="921"/>
      <c r="K93" s="697" t="s">
        <v>544</v>
      </c>
      <c r="L93" s="930"/>
      <c r="M93" s="930"/>
      <c r="N93" s="930"/>
      <c r="O93" s="930"/>
      <c r="P93" s="931"/>
    </row>
    <row r="94" spans="1:16" hidden="1">
      <c r="A94" s="921" t="s">
        <v>244</v>
      </c>
      <c r="B94" s="919" t="s">
        <v>613</v>
      </c>
      <c r="C94" s="922"/>
      <c r="D94" s="923">
        <f>'[2]总投资-发采购-0411-GLP拆分场外费用(司调)'!G127</f>
        <v>174.807908541004</v>
      </c>
      <c r="E94" s="928">
        <f t="shared" si="6"/>
        <v>24.586203732911954</v>
      </c>
      <c r="F94" s="920">
        <v>1</v>
      </c>
      <c r="G94" s="924">
        <f t="shared" si="5"/>
        <v>174.807908541004</v>
      </c>
      <c r="H94" s="606" t="s">
        <v>543</v>
      </c>
      <c r="I94" s="921"/>
      <c r="J94" s="921"/>
      <c r="K94" s="697" t="s">
        <v>544</v>
      </c>
      <c r="L94" s="930"/>
      <c r="M94" s="930"/>
      <c r="N94" s="930"/>
      <c r="O94" s="930"/>
      <c r="P94" s="931"/>
    </row>
    <row r="95" spans="1:16" hidden="1">
      <c r="A95" s="921" t="s">
        <v>245</v>
      </c>
      <c r="B95" s="919" t="s">
        <v>614</v>
      </c>
      <c r="C95" s="922"/>
      <c r="D95" s="923">
        <f>'[2]总投资-发采购-0411-GLP拆分场外费用(司调)'!G128</f>
        <v>639.48</v>
      </c>
      <c r="E95" s="928">
        <f t="shared" si="6"/>
        <v>89.940928270042193</v>
      </c>
      <c r="F95" s="920">
        <v>1</v>
      </c>
      <c r="G95" s="924">
        <f t="shared" si="5"/>
        <v>639.48</v>
      </c>
      <c r="H95" s="606" t="s">
        <v>543</v>
      </c>
      <c r="I95" s="921"/>
      <c r="J95" s="921"/>
      <c r="K95" s="697" t="s">
        <v>544</v>
      </c>
      <c r="L95" s="930"/>
      <c r="M95" s="930"/>
      <c r="N95" s="930"/>
      <c r="O95" s="930"/>
      <c r="P95" s="931"/>
    </row>
    <row r="96" spans="1:16" hidden="1">
      <c r="A96" s="921"/>
      <c r="B96" s="919" t="s">
        <v>615</v>
      </c>
      <c r="C96" s="922"/>
      <c r="D96" s="923">
        <f>'[2]总投资-发采购-0411-GLP拆分场外费用(司调)'!G129</f>
        <v>955.589579477293</v>
      </c>
      <c r="E96" s="928">
        <f t="shared" si="6"/>
        <v>134.40078473660941</v>
      </c>
      <c r="F96" s="920">
        <v>1</v>
      </c>
      <c r="G96" s="924">
        <f t="shared" si="5"/>
        <v>955.589579477293</v>
      </c>
      <c r="H96" s="606" t="s">
        <v>543</v>
      </c>
      <c r="I96" s="921"/>
      <c r="J96" s="921"/>
      <c r="K96" s="697" t="s">
        <v>544</v>
      </c>
      <c r="L96" s="930"/>
      <c r="M96" s="930"/>
      <c r="N96" s="930"/>
      <c r="O96" s="930"/>
      <c r="P96" s="931"/>
    </row>
    <row r="97" spans="1:16" hidden="1">
      <c r="A97" s="921" t="s">
        <v>246</v>
      </c>
      <c r="B97" s="919" t="s">
        <v>616</v>
      </c>
      <c r="C97" s="922"/>
      <c r="D97" s="923">
        <f>'[2]总投资-发采购-0411-GLP拆分场外费用(司调)'!G130</f>
        <v>72</v>
      </c>
      <c r="E97" s="928">
        <f t="shared" si="6"/>
        <v>10.126582278481012</v>
      </c>
      <c r="F97" s="920">
        <v>1</v>
      </c>
      <c r="G97" s="924">
        <f t="shared" si="5"/>
        <v>72</v>
      </c>
      <c r="H97" s="606" t="s">
        <v>543</v>
      </c>
      <c r="I97" s="921"/>
      <c r="J97" s="921"/>
      <c r="K97" s="697" t="s">
        <v>544</v>
      </c>
      <c r="L97" s="930"/>
      <c r="M97" s="930"/>
      <c r="N97" s="930"/>
      <c r="O97" s="930"/>
      <c r="P97" s="931"/>
    </row>
    <row r="98" spans="1:16" hidden="1">
      <c r="A98" s="921"/>
      <c r="B98" s="919" t="s">
        <v>617</v>
      </c>
      <c r="C98" s="922"/>
      <c r="D98" s="923">
        <f>'[2]总投资-发采购-0411-GLP拆分场外费用(司调)'!G131</f>
        <v>1</v>
      </c>
      <c r="E98" s="928">
        <f t="shared" si="6"/>
        <v>0.14064697609001406</v>
      </c>
      <c r="F98" s="920">
        <v>1</v>
      </c>
      <c r="G98" s="924">
        <f t="shared" si="5"/>
        <v>1</v>
      </c>
      <c r="H98" s="606" t="s">
        <v>543</v>
      </c>
      <c r="I98" s="921"/>
      <c r="J98" s="921"/>
      <c r="K98" s="697" t="s">
        <v>544</v>
      </c>
      <c r="L98" s="930"/>
      <c r="M98" s="930"/>
      <c r="N98" s="930"/>
      <c r="O98" s="930"/>
      <c r="P98" s="931"/>
    </row>
    <row r="99" spans="1:16" hidden="1">
      <c r="A99" s="921"/>
      <c r="B99" s="919" t="s">
        <v>618</v>
      </c>
      <c r="C99" s="922"/>
      <c r="D99" s="923">
        <f>'[2]总投资-发采购-0411-GLP拆分场外费用(司调)'!G132</f>
        <v>13</v>
      </c>
      <c r="E99" s="928">
        <f t="shared" si="6"/>
        <v>1.8284106891701828</v>
      </c>
      <c r="F99" s="920">
        <v>1</v>
      </c>
      <c r="G99" s="924">
        <f t="shared" si="5"/>
        <v>13</v>
      </c>
      <c r="H99" s="606" t="s">
        <v>543</v>
      </c>
      <c r="I99" s="921"/>
      <c r="J99" s="921"/>
      <c r="K99" s="697" t="s">
        <v>544</v>
      </c>
      <c r="L99" s="930"/>
      <c r="M99" s="930"/>
      <c r="N99" s="930"/>
      <c r="O99" s="930"/>
      <c r="P99" s="931"/>
    </row>
    <row r="100" spans="1:16" hidden="1">
      <c r="A100" s="921"/>
      <c r="B100" s="919" t="s">
        <v>619</v>
      </c>
      <c r="C100" s="922"/>
      <c r="D100" s="923">
        <f>'[2]总投资-发采购-0411-GLP拆分场外费用(司调)'!G133</f>
        <v>58</v>
      </c>
      <c r="E100" s="928">
        <f t="shared" si="6"/>
        <v>8.157524613220815</v>
      </c>
      <c r="F100" s="920">
        <v>1</v>
      </c>
      <c r="G100" s="924">
        <f t="shared" si="5"/>
        <v>58</v>
      </c>
      <c r="H100" s="606" t="s">
        <v>543</v>
      </c>
      <c r="I100" s="921"/>
      <c r="J100" s="921"/>
      <c r="K100" s="697" t="s">
        <v>544</v>
      </c>
      <c r="L100" s="930"/>
      <c r="M100" s="930"/>
      <c r="N100" s="930"/>
      <c r="O100" s="930"/>
      <c r="P100" s="931"/>
    </row>
    <row r="101" spans="1:16" hidden="1">
      <c r="A101" s="921">
        <v>2.9</v>
      </c>
      <c r="B101" s="919" t="s">
        <v>620</v>
      </c>
      <c r="C101" s="922"/>
      <c r="D101" s="923">
        <f>'[2]总投资-发采购-0411-GLP拆分场外费用(司调)'!G95</f>
        <v>13789.8726650923</v>
      </c>
      <c r="E101" s="928">
        <f t="shared" si="6"/>
        <v>1939.5038910115752</v>
      </c>
      <c r="F101" s="920">
        <v>1</v>
      </c>
      <c r="G101" s="924">
        <f t="shared" si="5"/>
        <v>13789.8726650923</v>
      </c>
      <c r="H101" s="606" t="s">
        <v>543</v>
      </c>
      <c r="I101" s="921"/>
      <c r="J101" s="921"/>
      <c r="K101" s="697" t="s">
        <v>544</v>
      </c>
      <c r="L101" s="930"/>
      <c r="M101" s="930"/>
      <c r="N101" s="930"/>
      <c r="O101" s="930"/>
      <c r="P101" s="931"/>
    </row>
    <row r="102" spans="1:16" hidden="1">
      <c r="A102" s="921" t="s">
        <v>248</v>
      </c>
      <c r="B102" s="919" t="s">
        <v>621</v>
      </c>
      <c r="C102" s="922"/>
      <c r="D102" s="923">
        <f>'[2]总投资-发采购-0411-GLP拆分场外费用(司调)'!G96</f>
        <v>10541.2785526889</v>
      </c>
      <c r="E102" s="928">
        <f t="shared" si="6"/>
        <v>1482.5989525582138</v>
      </c>
      <c r="F102" s="920">
        <v>1</v>
      </c>
      <c r="G102" s="924">
        <f t="shared" si="5"/>
        <v>10541.2785526889</v>
      </c>
      <c r="H102" s="606" t="s">
        <v>543</v>
      </c>
      <c r="I102" s="921"/>
      <c r="J102" s="921"/>
      <c r="K102" s="697" t="s">
        <v>544</v>
      </c>
      <c r="L102" s="930"/>
      <c r="M102" s="930"/>
      <c r="N102" s="930"/>
      <c r="O102" s="930"/>
      <c r="P102" s="931"/>
    </row>
    <row r="103" spans="1:16" hidden="1">
      <c r="A103" s="921" t="s">
        <v>249</v>
      </c>
      <c r="B103" s="919" t="s">
        <v>622</v>
      </c>
      <c r="C103" s="922"/>
      <c r="D103" s="923">
        <f>'[2]总投资-发采购-0411-GLP拆分场外费用(司调)'!G97</f>
        <v>35.581440000000001</v>
      </c>
      <c r="E103" s="928">
        <f t="shared" si="6"/>
        <v>5.0044219409282702</v>
      </c>
      <c r="F103" s="920">
        <v>1</v>
      </c>
      <c r="G103" s="924">
        <f t="shared" si="5"/>
        <v>35.581440000000001</v>
      </c>
      <c r="H103" s="606" t="s">
        <v>543</v>
      </c>
      <c r="I103" s="921"/>
      <c r="J103" s="921"/>
      <c r="K103" s="697" t="s">
        <v>544</v>
      </c>
      <c r="L103" s="930"/>
      <c r="M103" s="930"/>
      <c r="N103" s="930"/>
      <c r="O103" s="930"/>
      <c r="P103" s="931"/>
    </row>
    <row r="104" spans="1:16" hidden="1">
      <c r="A104" s="921" t="s">
        <v>250</v>
      </c>
      <c r="B104" s="919" t="s">
        <v>623</v>
      </c>
      <c r="C104" s="922"/>
      <c r="D104" s="923">
        <f>'[2]总投资-发采购-0411-GLP拆分场外费用(司调)'!G98</f>
        <v>320.23295999999999</v>
      </c>
      <c r="E104" s="928">
        <f t="shared" si="6"/>
        <v>45.039797468354429</v>
      </c>
      <c r="F104" s="920">
        <v>1</v>
      </c>
      <c r="G104" s="924">
        <f t="shared" si="5"/>
        <v>320.23295999999999</v>
      </c>
      <c r="H104" s="606" t="s">
        <v>543</v>
      </c>
      <c r="I104" s="921"/>
      <c r="J104" s="921"/>
      <c r="K104" s="697" t="s">
        <v>544</v>
      </c>
      <c r="L104" s="930"/>
      <c r="M104" s="930"/>
      <c r="N104" s="930"/>
      <c r="O104" s="930"/>
      <c r="P104" s="931"/>
    </row>
    <row r="105" spans="1:16" hidden="1">
      <c r="A105" s="921" t="s">
        <v>251</v>
      </c>
      <c r="B105" s="919" t="s">
        <v>624</v>
      </c>
      <c r="C105" s="922"/>
      <c r="D105" s="923">
        <f>'[2]总投资-发采购-0411-GLP拆分场外费用(司调)'!G99</f>
        <v>249.07007999999999</v>
      </c>
      <c r="E105" s="928">
        <f t="shared" si="6"/>
        <v>35.030953586497887</v>
      </c>
      <c r="F105" s="920">
        <v>1</v>
      </c>
      <c r="G105" s="924">
        <f t="shared" si="5"/>
        <v>249.07007999999999</v>
      </c>
      <c r="H105" s="606" t="s">
        <v>543</v>
      </c>
      <c r="I105" s="921"/>
      <c r="J105" s="921"/>
      <c r="K105" s="697" t="s">
        <v>544</v>
      </c>
      <c r="L105" s="930"/>
      <c r="M105" s="930"/>
      <c r="N105" s="930"/>
      <c r="O105" s="930"/>
      <c r="P105" s="931"/>
    </row>
    <row r="106" spans="1:16" hidden="1">
      <c r="A106" s="921" t="s">
        <v>252</v>
      </c>
      <c r="B106" s="919" t="s">
        <v>625</v>
      </c>
      <c r="C106" s="922"/>
      <c r="D106" s="923">
        <f>'[2]总投资-发采购-0411-GLP拆分场外费用(司调)'!G100</f>
        <v>551.51232000000005</v>
      </c>
      <c r="E106" s="928">
        <f t="shared" si="6"/>
        <v>77.568540084388189</v>
      </c>
      <c r="F106" s="920">
        <v>1</v>
      </c>
      <c r="G106" s="924">
        <f t="shared" si="5"/>
        <v>551.51232000000005</v>
      </c>
      <c r="H106" s="606" t="s">
        <v>543</v>
      </c>
      <c r="I106" s="921"/>
      <c r="J106" s="921"/>
      <c r="K106" s="697" t="s">
        <v>544</v>
      </c>
      <c r="L106" s="930"/>
      <c r="M106" s="930"/>
      <c r="N106" s="930"/>
      <c r="O106" s="930"/>
      <c r="P106" s="931"/>
    </row>
    <row r="107" spans="1:16" hidden="1">
      <c r="A107" s="921" t="s">
        <v>253</v>
      </c>
      <c r="B107" s="919" t="s">
        <v>626</v>
      </c>
      <c r="C107" s="922"/>
      <c r="D107" s="923">
        <f>'[2]总投资-发采购-0411-GLP拆分场外费用(司调)'!G101</f>
        <v>151.97692630333501</v>
      </c>
      <c r="E107" s="928">
        <f t="shared" si="6"/>
        <v>21.375095120018987</v>
      </c>
      <c r="F107" s="920">
        <v>1</v>
      </c>
      <c r="G107" s="924">
        <f t="shared" si="5"/>
        <v>151.97692630333501</v>
      </c>
      <c r="H107" s="606" t="s">
        <v>543</v>
      </c>
      <c r="I107" s="921"/>
      <c r="J107" s="921"/>
      <c r="K107" s="697" t="s">
        <v>544</v>
      </c>
      <c r="L107" s="930"/>
      <c r="M107" s="930"/>
      <c r="N107" s="930"/>
      <c r="O107" s="930"/>
      <c r="P107" s="931"/>
    </row>
    <row r="108" spans="1:16" hidden="1">
      <c r="A108" s="921" t="s">
        <v>254</v>
      </c>
      <c r="B108" s="919" t="s">
        <v>627</v>
      </c>
      <c r="C108" s="922"/>
      <c r="D108" s="923">
        <f>'[2]总投资-发采购-0411-GLP拆分场外费用(司调)'!G102</f>
        <v>555.96</v>
      </c>
      <c r="E108" s="928">
        <f t="shared" si="6"/>
        <v>78.194092827004226</v>
      </c>
      <c r="F108" s="920">
        <v>1</v>
      </c>
      <c r="G108" s="924">
        <f t="shared" si="5"/>
        <v>555.96</v>
      </c>
      <c r="H108" s="606" t="s">
        <v>543</v>
      </c>
      <c r="I108" s="921"/>
      <c r="J108" s="921"/>
      <c r="K108" s="697" t="s">
        <v>544</v>
      </c>
      <c r="L108" s="930"/>
      <c r="M108" s="930"/>
      <c r="N108" s="930"/>
      <c r="O108" s="930"/>
      <c r="P108" s="931"/>
    </row>
    <row r="109" spans="1:16" hidden="1">
      <c r="A109" s="921"/>
      <c r="B109" s="919" t="s">
        <v>628</v>
      </c>
      <c r="C109" s="922"/>
      <c r="D109" s="923">
        <f>'[2]总投资-发采购-0411-GLP拆分场外费用(司调)'!G103</f>
        <v>1319.26038610009</v>
      </c>
      <c r="E109" s="928">
        <f t="shared" si="6"/>
        <v>185.54998398032208</v>
      </c>
      <c r="F109" s="920">
        <v>1</v>
      </c>
      <c r="G109" s="924">
        <f t="shared" si="5"/>
        <v>1319.26038610009</v>
      </c>
      <c r="H109" s="606" t="s">
        <v>543</v>
      </c>
      <c r="I109" s="921"/>
      <c r="J109" s="921"/>
      <c r="K109" s="697" t="s">
        <v>544</v>
      </c>
      <c r="L109" s="930"/>
      <c r="M109" s="930"/>
      <c r="N109" s="930"/>
      <c r="O109" s="930"/>
      <c r="P109" s="931"/>
    </row>
    <row r="110" spans="1:16" hidden="1">
      <c r="A110" s="921" t="s">
        <v>255</v>
      </c>
      <c r="B110" s="919" t="s">
        <v>629</v>
      </c>
      <c r="C110" s="922"/>
      <c r="D110" s="923">
        <f>'[2]总投资-发采购-0411-GLP拆分场外费用(司调)'!G104</f>
        <v>65</v>
      </c>
      <c r="E110" s="928">
        <f t="shared" si="6"/>
        <v>9.1420534458509142</v>
      </c>
      <c r="F110" s="920">
        <v>1</v>
      </c>
      <c r="G110" s="924">
        <f t="shared" si="5"/>
        <v>65</v>
      </c>
      <c r="H110" s="606" t="s">
        <v>543</v>
      </c>
      <c r="I110" s="921"/>
      <c r="J110" s="921"/>
      <c r="K110" s="697" t="s">
        <v>544</v>
      </c>
      <c r="L110" s="930"/>
      <c r="M110" s="930"/>
      <c r="N110" s="930"/>
      <c r="O110" s="930"/>
      <c r="P110" s="931"/>
    </row>
    <row r="111" spans="1:16" hidden="1">
      <c r="A111" s="921"/>
      <c r="B111" s="919" t="s">
        <v>630</v>
      </c>
      <c r="C111" s="922"/>
      <c r="D111" s="923">
        <f>'[2]总投资-发采购-0411-GLP拆分场外费用(司调)'!G105</f>
        <v>1</v>
      </c>
      <c r="E111" s="928">
        <f t="shared" si="6"/>
        <v>0.14064697609001406</v>
      </c>
      <c r="F111" s="920">
        <v>1</v>
      </c>
      <c r="G111" s="924">
        <f t="shared" si="5"/>
        <v>1</v>
      </c>
      <c r="H111" s="606" t="s">
        <v>543</v>
      </c>
      <c r="I111" s="921"/>
      <c r="J111" s="921"/>
      <c r="K111" s="697" t="s">
        <v>544</v>
      </c>
      <c r="L111" s="930"/>
      <c r="M111" s="930"/>
      <c r="N111" s="930"/>
      <c r="O111" s="930"/>
      <c r="P111" s="931"/>
    </row>
    <row r="112" spans="1:16" hidden="1">
      <c r="A112" s="921"/>
      <c r="B112" s="919" t="s">
        <v>631</v>
      </c>
      <c r="C112" s="922"/>
      <c r="D112" s="923">
        <f>'[2]总投资-发采购-0411-GLP拆分场外费用(司调)'!G106</f>
        <v>11</v>
      </c>
      <c r="E112" s="928">
        <f t="shared" si="6"/>
        <v>1.5471167369901546</v>
      </c>
      <c r="F112" s="920">
        <v>1</v>
      </c>
      <c r="G112" s="924">
        <f t="shared" si="5"/>
        <v>11</v>
      </c>
      <c r="H112" s="606" t="s">
        <v>543</v>
      </c>
      <c r="I112" s="921"/>
      <c r="J112" s="921"/>
      <c r="K112" s="697" t="s">
        <v>544</v>
      </c>
      <c r="L112" s="930"/>
      <c r="M112" s="930"/>
      <c r="N112" s="930"/>
      <c r="O112" s="930"/>
      <c r="P112" s="931"/>
    </row>
    <row r="113" spans="1:16" hidden="1">
      <c r="A113" s="921"/>
      <c r="B113" s="919" t="s">
        <v>632</v>
      </c>
      <c r="C113" s="922"/>
      <c r="D113" s="923">
        <f>'[2]总投资-发采购-0411-GLP拆分场外费用(司调)'!G107</f>
        <v>53</v>
      </c>
      <c r="E113" s="928">
        <f t="shared" si="6"/>
        <v>7.4542897327707447</v>
      </c>
      <c r="F113" s="920">
        <v>1</v>
      </c>
      <c r="G113" s="924">
        <f t="shared" si="5"/>
        <v>53</v>
      </c>
      <c r="H113" s="606" t="s">
        <v>543</v>
      </c>
      <c r="I113" s="921"/>
      <c r="J113" s="921"/>
      <c r="K113" s="697" t="s">
        <v>544</v>
      </c>
      <c r="L113" s="930"/>
      <c r="M113" s="930"/>
      <c r="N113" s="930"/>
      <c r="O113" s="930"/>
      <c r="P113" s="931"/>
    </row>
    <row r="114" spans="1:16" hidden="1">
      <c r="A114" s="921" t="s">
        <v>256</v>
      </c>
      <c r="B114" s="919" t="s">
        <v>633</v>
      </c>
      <c r="C114" s="922"/>
      <c r="D114" s="923">
        <f>'[2]总投资-发采购-0411-GLP拆分场外费用(司调)'!G199</f>
        <v>9618.8799999999992</v>
      </c>
      <c r="E114" s="928">
        <f t="shared" ref="E114:E118" si="7">D114/$A$3</f>
        <v>1352.8663853727144</v>
      </c>
      <c r="F114" s="920">
        <v>1</v>
      </c>
      <c r="G114" s="924">
        <f t="shared" si="5"/>
        <v>9618.8799999999992</v>
      </c>
      <c r="H114" s="606" t="s">
        <v>543</v>
      </c>
      <c r="I114" s="921"/>
      <c r="J114" s="921"/>
      <c r="K114" s="697" t="s">
        <v>544</v>
      </c>
      <c r="L114" s="930"/>
      <c r="M114" s="930"/>
      <c r="N114" s="930"/>
      <c r="O114" s="930"/>
      <c r="P114" s="931"/>
    </row>
    <row r="115" spans="1:16" hidden="1">
      <c r="A115" s="921" t="s">
        <v>258</v>
      </c>
      <c r="B115" s="919" t="s">
        <v>634</v>
      </c>
      <c r="C115" s="922"/>
      <c r="D115" s="923">
        <f>'[2]总投资-发采购-0411-GLP拆分场外费用(司调)'!G200</f>
        <v>9330.3135999999995</v>
      </c>
      <c r="E115" s="928">
        <f t="shared" si="7"/>
        <v>1312.280393811533</v>
      </c>
      <c r="F115" s="920">
        <v>1</v>
      </c>
      <c r="G115" s="924">
        <f t="shared" si="5"/>
        <v>9330.3135999999995</v>
      </c>
      <c r="H115" s="606" t="s">
        <v>543</v>
      </c>
      <c r="I115" s="921"/>
      <c r="J115" s="921"/>
      <c r="K115" s="697" t="s">
        <v>544</v>
      </c>
      <c r="L115" s="930"/>
      <c r="M115" s="930"/>
      <c r="N115" s="930"/>
      <c r="O115" s="930"/>
      <c r="P115" s="931"/>
    </row>
    <row r="116" spans="1:16" hidden="1">
      <c r="A116" s="921" t="s">
        <v>260</v>
      </c>
      <c r="B116" s="919" t="s">
        <v>635</v>
      </c>
      <c r="C116" s="922"/>
      <c r="D116" s="923">
        <f>'[2]总投资-发采购-0411-GLP拆分场外费用(司调)'!G201</f>
        <v>288.56639999999999</v>
      </c>
      <c r="E116" s="928">
        <f t="shared" si="7"/>
        <v>40.58599156118143</v>
      </c>
      <c r="F116" s="920">
        <v>1</v>
      </c>
      <c r="G116" s="924">
        <f t="shared" si="5"/>
        <v>288.56639999999999</v>
      </c>
      <c r="H116" s="606" t="s">
        <v>543</v>
      </c>
      <c r="I116" s="921"/>
      <c r="J116" s="921"/>
      <c r="K116" s="697" t="s">
        <v>544</v>
      </c>
      <c r="L116" s="930"/>
      <c r="M116" s="930"/>
      <c r="N116" s="930"/>
      <c r="O116" s="930"/>
      <c r="P116" s="931"/>
    </row>
    <row r="117" spans="1:16">
      <c r="A117" s="606" t="s">
        <v>38</v>
      </c>
      <c r="B117" s="919" t="s">
        <v>636</v>
      </c>
      <c r="C117" s="709" t="s">
        <v>637</v>
      </c>
      <c r="D117" s="710">
        <f>SUM('[2]总投资-发采购-0411-GLP拆分场外费用(司调)'!G134,'[2]总投资-发采购-0411-GLP拆分场外费用(司调)'!G147,'[2]总投资-发采购-0411-GLP拆分场外费用(司调)'!G160)</f>
        <v>47558.926001233798</v>
      </c>
      <c r="E117" s="711">
        <f t="shared" si="7"/>
        <v>6689.0191281622783</v>
      </c>
      <c r="F117" s="920">
        <v>1</v>
      </c>
      <c r="G117" s="712">
        <f t="shared" si="5"/>
        <v>47558.926001233798</v>
      </c>
      <c r="H117" s="606" t="s">
        <v>543</v>
      </c>
      <c r="I117" s="606" t="s">
        <v>79</v>
      </c>
      <c r="J117" s="606">
        <v>18</v>
      </c>
      <c r="K117" s="697" t="s">
        <v>31</v>
      </c>
      <c r="L117" s="738" t="s">
        <v>225</v>
      </c>
      <c r="M117" s="738" t="s">
        <v>226</v>
      </c>
      <c r="N117" s="738" t="s">
        <v>227</v>
      </c>
      <c r="O117" s="738" t="s">
        <v>228</v>
      </c>
      <c r="P117" s="697"/>
    </row>
    <row r="118" spans="1:16" hidden="1">
      <c r="A118" s="921">
        <v>2.12</v>
      </c>
      <c r="B118" s="925" t="s">
        <v>264</v>
      </c>
      <c r="C118" s="922"/>
      <c r="D118" s="923">
        <f>'[2]总投资-发采购-0411-GLP拆分场外费用(司调)'!G134</f>
        <v>15098.998477818201</v>
      </c>
      <c r="E118" s="928">
        <f t="shared" si="7"/>
        <v>2123.6284778928552</v>
      </c>
      <c r="F118" s="920">
        <v>1</v>
      </c>
      <c r="G118" s="924">
        <f t="shared" si="5"/>
        <v>15098.998477818201</v>
      </c>
      <c r="H118" s="606" t="s">
        <v>543</v>
      </c>
      <c r="I118" s="921"/>
      <c r="J118" s="921"/>
      <c r="K118" s="697" t="s">
        <v>544</v>
      </c>
      <c r="L118" s="930"/>
      <c r="M118" s="930"/>
      <c r="N118" s="930"/>
      <c r="O118" s="930"/>
      <c r="P118" s="931"/>
    </row>
    <row r="119" spans="1:16" hidden="1">
      <c r="A119" s="921" t="s">
        <v>265</v>
      </c>
      <c r="B119" s="925" t="s">
        <v>141</v>
      </c>
      <c r="C119" s="922"/>
      <c r="D119" s="923">
        <f>'[2]总投资-发采购-0411-GLP拆分场外费用(司调)'!G135</f>
        <v>12124.859358359399</v>
      </c>
      <c r="E119" s="928">
        <f t="shared" ref="E119:E182" si="8">D119/$A$3</f>
        <v>1705.3248042699577</v>
      </c>
      <c r="F119" s="920">
        <v>1</v>
      </c>
      <c r="G119" s="924">
        <f t="shared" si="5"/>
        <v>12124.859358359399</v>
      </c>
      <c r="H119" s="606" t="s">
        <v>543</v>
      </c>
      <c r="I119" s="921"/>
      <c r="J119" s="921"/>
      <c r="K119" s="697" t="s">
        <v>544</v>
      </c>
      <c r="L119" s="930"/>
      <c r="M119" s="930"/>
      <c r="N119" s="930"/>
      <c r="O119" s="930"/>
      <c r="P119" s="931"/>
    </row>
    <row r="120" spans="1:16" hidden="1">
      <c r="A120" s="921" t="s">
        <v>266</v>
      </c>
      <c r="B120" s="925" t="s">
        <v>143</v>
      </c>
      <c r="C120" s="922"/>
      <c r="D120" s="923">
        <f>'[2]总投资-发采购-0411-GLP拆分场外费用(司调)'!G136</f>
        <v>40.926720000000003</v>
      </c>
      <c r="E120" s="928">
        <f t="shared" si="8"/>
        <v>5.7562194092827008</v>
      </c>
      <c r="F120" s="920">
        <v>1</v>
      </c>
      <c r="G120" s="924">
        <f t="shared" si="5"/>
        <v>40.926720000000003</v>
      </c>
      <c r="H120" s="606" t="s">
        <v>543</v>
      </c>
      <c r="I120" s="921"/>
      <c r="J120" s="921"/>
      <c r="K120" s="697" t="s">
        <v>544</v>
      </c>
      <c r="L120" s="930"/>
      <c r="M120" s="930"/>
      <c r="N120" s="930"/>
      <c r="O120" s="930"/>
      <c r="P120" s="931"/>
    </row>
    <row r="121" spans="1:16" hidden="1">
      <c r="A121" s="921" t="s">
        <v>267</v>
      </c>
      <c r="B121" s="925" t="s">
        <v>145</v>
      </c>
      <c r="C121" s="922"/>
      <c r="D121" s="923">
        <f>'[2]总投资-发采购-0411-GLP拆分场外费用(司调)'!G137</f>
        <v>368.34048000000001</v>
      </c>
      <c r="E121" s="928">
        <f t="shared" si="8"/>
        <v>51.805974683544306</v>
      </c>
      <c r="F121" s="920">
        <v>1</v>
      </c>
      <c r="G121" s="924">
        <f t="shared" si="5"/>
        <v>368.34048000000001</v>
      </c>
      <c r="H121" s="606" t="s">
        <v>543</v>
      </c>
      <c r="I121" s="921"/>
      <c r="J121" s="921"/>
      <c r="K121" s="697" t="s">
        <v>544</v>
      </c>
      <c r="L121" s="930"/>
      <c r="M121" s="930"/>
      <c r="N121" s="930"/>
      <c r="O121" s="930"/>
      <c r="P121" s="931"/>
    </row>
    <row r="122" spans="1:16" hidden="1">
      <c r="A122" s="921" t="s">
        <v>268</v>
      </c>
      <c r="B122" s="925" t="s">
        <v>147</v>
      </c>
      <c r="C122" s="922"/>
      <c r="D122" s="923">
        <f>'[2]总投资-发采购-0411-GLP拆分场外费用(司调)'!G138</f>
        <v>286.48703999999998</v>
      </c>
      <c r="E122" s="928">
        <f t="shared" si="8"/>
        <v>40.293535864978899</v>
      </c>
      <c r="F122" s="920">
        <v>1</v>
      </c>
      <c r="G122" s="924">
        <f t="shared" si="5"/>
        <v>286.48703999999998</v>
      </c>
      <c r="H122" s="606" t="s">
        <v>543</v>
      </c>
      <c r="I122" s="921"/>
      <c r="J122" s="921"/>
      <c r="K122" s="697" t="s">
        <v>544</v>
      </c>
      <c r="L122" s="930"/>
      <c r="M122" s="930"/>
      <c r="N122" s="930"/>
      <c r="O122" s="930"/>
      <c r="P122" s="931"/>
    </row>
    <row r="123" spans="1:16" hidden="1">
      <c r="A123" s="921" t="s">
        <v>269</v>
      </c>
      <c r="B123" s="925" t="s">
        <v>149</v>
      </c>
      <c r="C123" s="922"/>
      <c r="D123" s="923">
        <f>'[2]总投资-发采购-0411-GLP拆分场外费用(司调)'!G139</f>
        <v>634.36415999999997</v>
      </c>
      <c r="E123" s="928">
        <f t="shared" si="8"/>
        <v>89.221400843881852</v>
      </c>
      <c r="F123" s="920">
        <v>1</v>
      </c>
      <c r="G123" s="924">
        <f t="shared" si="5"/>
        <v>634.36415999999997</v>
      </c>
      <c r="H123" s="606" t="s">
        <v>543</v>
      </c>
      <c r="I123" s="921"/>
      <c r="J123" s="921"/>
      <c r="K123" s="697" t="s">
        <v>544</v>
      </c>
      <c r="L123" s="930"/>
      <c r="M123" s="930"/>
      <c r="N123" s="930"/>
      <c r="O123" s="930"/>
      <c r="P123" s="931"/>
    </row>
    <row r="124" spans="1:16" hidden="1">
      <c r="A124" s="921" t="s">
        <v>270</v>
      </c>
      <c r="B124" s="925" t="s">
        <v>151</v>
      </c>
      <c r="C124" s="922"/>
      <c r="D124" s="923">
        <f>'[2]总投资-发采购-0411-GLP拆分场外费用(司调)'!G140</f>
        <v>174.807908541004</v>
      </c>
      <c r="E124" s="928">
        <f t="shared" si="8"/>
        <v>24.586203732911954</v>
      </c>
      <c r="F124" s="920">
        <v>1</v>
      </c>
      <c r="G124" s="924">
        <f t="shared" si="5"/>
        <v>174.807908541004</v>
      </c>
      <c r="H124" s="606" t="s">
        <v>543</v>
      </c>
      <c r="I124" s="921"/>
      <c r="J124" s="921"/>
      <c r="K124" s="697" t="s">
        <v>544</v>
      </c>
      <c r="L124" s="930"/>
      <c r="M124" s="930"/>
      <c r="N124" s="930"/>
      <c r="O124" s="930"/>
      <c r="P124" s="931"/>
    </row>
    <row r="125" spans="1:16" hidden="1">
      <c r="A125" s="921" t="s">
        <v>271</v>
      </c>
      <c r="B125" s="925" t="s">
        <v>153</v>
      </c>
      <c r="C125" s="922"/>
      <c r="D125" s="923">
        <f>'[2]总投资-发采购-0411-GLP拆分场外费用(司调)'!G141</f>
        <v>639.48</v>
      </c>
      <c r="E125" s="928">
        <f t="shared" si="8"/>
        <v>89.940928270042193</v>
      </c>
      <c r="F125" s="920">
        <v>1</v>
      </c>
      <c r="G125" s="924">
        <f t="shared" si="5"/>
        <v>639.48</v>
      </c>
      <c r="H125" s="606" t="s">
        <v>543</v>
      </c>
      <c r="I125" s="921"/>
      <c r="J125" s="921"/>
      <c r="K125" s="697" t="s">
        <v>544</v>
      </c>
      <c r="L125" s="930"/>
      <c r="M125" s="930"/>
      <c r="N125" s="930"/>
      <c r="O125" s="930"/>
      <c r="P125" s="931"/>
    </row>
    <row r="126" spans="1:16" hidden="1">
      <c r="A126" s="921"/>
      <c r="B126" s="925" t="s">
        <v>155</v>
      </c>
      <c r="C126" s="922"/>
      <c r="D126" s="923">
        <f>'[2]总投资-发采购-0411-GLP拆分场外费用(司调)'!G142</f>
        <v>757.73281091787499</v>
      </c>
      <c r="E126" s="928">
        <f t="shared" si="8"/>
        <v>106.5728285397855</v>
      </c>
      <c r="F126" s="920">
        <v>1</v>
      </c>
      <c r="G126" s="924">
        <f t="shared" si="5"/>
        <v>757.73281091787499</v>
      </c>
      <c r="H126" s="606" t="s">
        <v>543</v>
      </c>
      <c r="I126" s="921"/>
      <c r="J126" s="921"/>
      <c r="K126" s="697" t="s">
        <v>544</v>
      </c>
      <c r="L126" s="930"/>
      <c r="M126" s="930"/>
      <c r="N126" s="930"/>
      <c r="O126" s="930"/>
      <c r="P126" s="931"/>
    </row>
    <row r="127" spans="1:16" hidden="1">
      <c r="A127" s="921" t="s">
        <v>272</v>
      </c>
      <c r="B127" s="925" t="s">
        <v>156</v>
      </c>
      <c r="C127" s="922"/>
      <c r="D127" s="923">
        <f>'[2]总投资-发采购-0411-GLP拆分场外费用(司调)'!G143</f>
        <v>72</v>
      </c>
      <c r="E127" s="928">
        <f t="shared" si="8"/>
        <v>10.126582278481012</v>
      </c>
      <c r="F127" s="920">
        <v>1</v>
      </c>
      <c r="G127" s="924">
        <f t="shared" si="5"/>
        <v>72</v>
      </c>
      <c r="H127" s="606" t="s">
        <v>543</v>
      </c>
      <c r="I127" s="921"/>
      <c r="J127" s="921"/>
      <c r="K127" s="697" t="s">
        <v>544</v>
      </c>
      <c r="L127" s="930"/>
      <c r="M127" s="930"/>
      <c r="N127" s="930"/>
      <c r="O127" s="930"/>
      <c r="P127" s="931"/>
    </row>
    <row r="128" spans="1:16" hidden="1">
      <c r="A128" s="921"/>
      <c r="B128" s="925" t="s">
        <v>157</v>
      </c>
      <c r="C128" s="922"/>
      <c r="D128" s="923">
        <f>'[2]总投资-发采购-0411-GLP拆分场外费用(司调)'!G144</f>
        <v>1</v>
      </c>
      <c r="E128" s="928">
        <f t="shared" si="8"/>
        <v>0.14064697609001406</v>
      </c>
      <c r="F128" s="920">
        <v>1</v>
      </c>
      <c r="G128" s="924">
        <f t="shared" si="5"/>
        <v>1</v>
      </c>
      <c r="H128" s="606" t="s">
        <v>543</v>
      </c>
      <c r="I128" s="921"/>
      <c r="J128" s="921"/>
      <c r="K128" s="697" t="s">
        <v>544</v>
      </c>
      <c r="L128" s="930"/>
      <c r="M128" s="930"/>
      <c r="N128" s="930"/>
      <c r="O128" s="930"/>
      <c r="P128" s="931"/>
    </row>
    <row r="129" spans="1:16" hidden="1">
      <c r="A129" s="921"/>
      <c r="B129" s="925" t="s">
        <v>158</v>
      </c>
      <c r="C129" s="922"/>
      <c r="D129" s="923">
        <f>'[2]总投资-发采购-0411-GLP拆分场外费用(司调)'!G145</f>
        <v>13</v>
      </c>
      <c r="E129" s="928">
        <f t="shared" si="8"/>
        <v>1.8284106891701828</v>
      </c>
      <c r="F129" s="920">
        <v>1</v>
      </c>
      <c r="G129" s="924">
        <f t="shared" si="5"/>
        <v>13</v>
      </c>
      <c r="H129" s="606" t="s">
        <v>543</v>
      </c>
      <c r="I129" s="921"/>
      <c r="J129" s="921"/>
      <c r="K129" s="697" t="s">
        <v>544</v>
      </c>
      <c r="L129" s="930"/>
      <c r="M129" s="930"/>
      <c r="N129" s="930"/>
      <c r="O129" s="930"/>
      <c r="P129" s="931"/>
    </row>
    <row r="130" spans="1:16" hidden="1">
      <c r="A130" s="921"/>
      <c r="B130" s="925" t="s">
        <v>159</v>
      </c>
      <c r="C130" s="922"/>
      <c r="D130" s="923">
        <f>'[2]总投资-发采购-0411-GLP拆分场外费用(司调)'!G146</f>
        <v>58</v>
      </c>
      <c r="E130" s="928">
        <f t="shared" si="8"/>
        <v>8.157524613220815</v>
      </c>
      <c r="F130" s="920">
        <v>1</v>
      </c>
      <c r="G130" s="924">
        <f t="shared" si="5"/>
        <v>58</v>
      </c>
      <c r="H130" s="606" t="s">
        <v>543</v>
      </c>
      <c r="I130" s="921"/>
      <c r="J130" s="921"/>
      <c r="K130" s="697" t="s">
        <v>544</v>
      </c>
      <c r="L130" s="930"/>
      <c r="M130" s="930"/>
      <c r="N130" s="930"/>
      <c r="O130" s="930"/>
      <c r="P130" s="931"/>
    </row>
    <row r="131" spans="1:16" hidden="1">
      <c r="A131" s="921">
        <v>2.13</v>
      </c>
      <c r="B131" s="925" t="s">
        <v>273</v>
      </c>
      <c r="C131" s="922"/>
      <c r="D131" s="923">
        <f>'[2]总投资-发采购-0411-GLP拆分场外费用(司调)'!G147</f>
        <v>15276.624860273199</v>
      </c>
      <c r="E131" s="928">
        <f t="shared" si="8"/>
        <v>2148.611091458959</v>
      </c>
      <c r="F131" s="920">
        <v>1</v>
      </c>
      <c r="G131" s="924">
        <f t="shared" si="5"/>
        <v>15276.624860273199</v>
      </c>
      <c r="H131" s="606" t="s">
        <v>543</v>
      </c>
      <c r="I131" s="921"/>
      <c r="J131" s="921"/>
      <c r="K131" s="697" t="s">
        <v>544</v>
      </c>
      <c r="L131" s="930"/>
      <c r="M131" s="930"/>
      <c r="N131" s="930"/>
      <c r="O131" s="930"/>
      <c r="P131" s="931"/>
    </row>
    <row r="132" spans="1:16" hidden="1">
      <c r="A132" s="921" t="s">
        <v>274</v>
      </c>
      <c r="B132" s="925" t="s">
        <v>141</v>
      </c>
      <c r="C132" s="922"/>
      <c r="D132" s="923">
        <f>'[2]总投资-发采购-0411-GLP拆分场外费用(司调)'!G148</f>
        <v>12124.859358359399</v>
      </c>
      <c r="E132" s="928">
        <f t="shared" si="8"/>
        <v>1705.3248042699577</v>
      </c>
      <c r="F132" s="920">
        <v>1</v>
      </c>
      <c r="G132" s="924">
        <f t="shared" si="5"/>
        <v>12124.859358359399</v>
      </c>
      <c r="H132" s="606" t="s">
        <v>543</v>
      </c>
      <c r="I132" s="921"/>
      <c r="J132" s="921"/>
      <c r="K132" s="697" t="s">
        <v>544</v>
      </c>
      <c r="L132" s="930"/>
      <c r="M132" s="930"/>
      <c r="N132" s="930"/>
      <c r="O132" s="930"/>
      <c r="P132" s="931"/>
    </row>
    <row r="133" spans="1:16" hidden="1">
      <c r="A133" s="921" t="s">
        <v>275</v>
      </c>
      <c r="B133" s="925" t="s">
        <v>143</v>
      </c>
      <c r="C133" s="922"/>
      <c r="D133" s="923">
        <f>'[2]总投资-发采购-0411-GLP拆分场外费用(司调)'!G149</f>
        <v>40.926720000000003</v>
      </c>
      <c r="E133" s="928">
        <f t="shared" si="8"/>
        <v>5.7562194092827008</v>
      </c>
      <c r="F133" s="920">
        <v>1</v>
      </c>
      <c r="G133" s="924">
        <f t="shared" si="5"/>
        <v>40.926720000000003</v>
      </c>
      <c r="H133" s="606" t="s">
        <v>543</v>
      </c>
      <c r="I133" s="921"/>
      <c r="J133" s="921"/>
      <c r="K133" s="697" t="s">
        <v>544</v>
      </c>
      <c r="L133" s="930"/>
      <c r="M133" s="930"/>
      <c r="N133" s="930"/>
      <c r="O133" s="930"/>
      <c r="P133" s="931"/>
    </row>
    <row r="134" spans="1:16" hidden="1">
      <c r="A134" s="921" t="s">
        <v>276</v>
      </c>
      <c r="B134" s="925" t="s">
        <v>145</v>
      </c>
      <c r="C134" s="922"/>
      <c r="D134" s="923">
        <f>'[2]总投资-发采购-0411-GLP拆分场外费用(司调)'!G150</f>
        <v>368.34048000000001</v>
      </c>
      <c r="E134" s="928">
        <f t="shared" si="8"/>
        <v>51.805974683544306</v>
      </c>
      <c r="F134" s="920">
        <v>1</v>
      </c>
      <c r="G134" s="924">
        <f t="shared" si="5"/>
        <v>368.34048000000001</v>
      </c>
      <c r="H134" s="606" t="s">
        <v>543</v>
      </c>
      <c r="I134" s="921"/>
      <c r="J134" s="921"/>
      <c r="K134" s="697" t="s">
        <v>544</v>
      </c>
      <c r="L134" s="930"/>
      <c r="M134" s="930"/>
      <c r="N134" s="930"/>
      <c r="O134" s="930"/>
      <c r="P134" s="931"/>
    </row>
    <row r="135" spans="1:16" hidden="1">
      <c r="A135" s="921" t="s">
        <v>277</v>
      </c>
      <c r="B135" s="925" t="s">
        <v>147</v>
      </c>
      <c r="C135" s="922"/>
      <c r="D135" s="923">
        <f>'[2]总投资-发采购-0411-GLP拆分场外费用(司调)'!G151</f>
        <v>286.48703999999998</v>
      </c>
      <c r="E135" s="928">
        <f t="shared" si="8"/>
        <v>40.293535864978899</v>
      </c>
      <c r="F135" s="920">
        <v>1</v>
      </c>
      <c r="G135" s="924">
        <f t="shared" si="5"/>
        <v>286.48703999999998</v>
      </c>
      <c r="H135" s="606" t="s">
        <v>543</v>
      </c>
      <c r="I135" s="921"/>
      <c r="J135" s="921"/>
      <c r="K135" s="697" t="s">
        <v>544</v>
      </c>
      <c r="L135" s="930"/>
      <c r="M135" s="930"/>
      <c r="N135" s="930"/>
      <c r="O135" s="930"/>
      <c r="P135" s="931"/>
    </row>
    <row r="136" spans="1:16" hidden="1">
      <c r="A136" s="921" t="s">
        <v>278</v>
      </c>
      <c r="B136" s="925" t="s">
        <v>149</v>
      </c>
      <c r="C136" s="922"/>
      <c r="D136" s="923">
        <f>'[2]总投资-发采购-0411-GLP拆分场外费用(司调)'!G152</f>
        <v>634.36415999999997</v>
      </c>
      <c r="E136" s="928">
        <f t="shared" si="8"/>
        <v>89.221400843881852</v>
      </c>
      <c r="F136" s="920">
        <v>1</v>
      </c>
      <c r="G136" s="924">
        <f t="shared" ref="G136:G157" si="9">D136</f>
        <v>634.36415999999997</v>
      </c>
      <c r="H136" s="606" t="s">
        <v>543</v>
      </c>
      <c r="I136" s="921"/>
      <c r="J136" s="921"/>
      <c r="K136" s="697" t="s">
        <v>544</v>
      </c>
      <c r="L136" s="930"/>
      <c r="M136" s="930"/>
      <c r="N136" s="930"/>
      <c r="O136" s="930"/>
      <c r="P136" s="931"/>
    </row>
    <row r="137" spans="1:16" hidden="1">
      <c r="A137" s="921" t="s">
        <v>279</v>
      </c>
      <c r="B137" s="925" t="s">
        <v>151</v>
      </c>
      <c r="C137" s="922"/>
      <c r="D137" s="923">
        <f>'[2]总投资-发采购-0411-GLP拆分场外费用(司调)'!G153</f>
        <v>174.807908541004</v>
      </c>
      <c r="E137" s="928">
        <f t="shared" si="8"/>
        <v>24.586203732911954</v>
      </c>
      <c r="F137" s="920">
        <v>1</v>
      </c>
      <c r="G137" s="924">
        <f t="shared" si="9"/>
        <v>174.807908541004</v>
      </c>
      <c r="H137" s="606" t="s">
        <v>543</v>
      </c>
      <c r="I137" s="921"/>
      <c r="J137" s="921"/>
      <c r="K137" s="697" t="s">
        <v>544</v>
      </c>
      <c r="L137" s="930"/>
      <c r="M137" s="930"/>
      <c r="N137" s="930"/>
      <c r="O137" s="930"/>
      <c r="P137" s="931"/>
    </row>
    <row r="138" spans="1:16" hidden="1">
      <c r="A138" s="921" t="s">
        <v>280</v>
      </c>
      <c r="B138" s="925" t="s">
        <v>153</v>
      </c>
      <c r="C138" s="922"/>
      <c r="D138" s="923">
        <f>'[2]总投资-发采购-0411-GLP拆分场外费用(司调)'!G154</f>
        <v>639.48</v>
      </c>
      <c r="E138" s="928">
        <f t="shared" si="8"/>
        <v>89.940928270042193</v>
      </c>
      <c r="F138" s="920">
        <v>1</v>
      </c>
      <c r="G138" s="924">
        <f t="shared" si="9"/>
        <v>639.48</v>
      </c>
      <c r="H138" s="606" t="s">
        <v>543</v>
      </c>
      <c r="I138" s="921"/>
      <c r="J138" s="921"/>
      <c r="K138" s="697" t="s">
        <v>544</v>
      </c>
      <c r="L138" s="930"/>
      <c r="M138" s="930"/>
      <c r="N138" s="930"/>
      <c r="O138" s="930"/>
      <c r="P138" s="931"/>
    </row>
    <row r="139" spans="1:16" hidden="1">
      <c r="A139" s="921"/>
      <c r="B139" s="925" t="s">
        <v>155</v>
      </c>
      <c r="C139" s="922"/>
      <c r="D139" s="923">
        <f>'[2]总投资-发采购-0411-GLP拆分场外费用(司调)'!G155</f>
        <v>935.35919337286396</v>
      </c>
      <c r="E139" s="928">
        <f t="shared" si="8"/>
        <v>131.55544210588803</v>
      </c>
      <c r="F139" s="920">
        <v>1</v>
      </c>
      <c r="G139" s="924">
        <f t="shared" si="9"/>
        <v>935.35919337286396</v>
      </c>
      <c r="H139" s="606" t="s">
        <v>543</v>
      </c>
      <c r="I139" s="921"/>
      <c r="J139" s="921"/>
      <c r="K139" s="697" t="s">
        <v>544</v>
      </c>
      <c r="L139" s="930"/>
      <c r="M139" s="930"/>
      <c r="N139" s="930"/>
      <c r="O139" s="930"/>
      <c r="P139" s="931"/>
    </row>
    <row r="140" spans="1:16" hidden="1">
      <c r="A140" s="921" t="s">
        <v>281</v>
      </c>
      <c r="B140" s="925" t="s">
        <v>156</v>
      </c>
      <c r="C140" s="922"/>
      <c r="D140" s="923">
        <f>'[2]总投资-发采购-0411-GLP拆分场外费用(司调)'!G156</f>
        <v>72</v>
      </c>
      <c r="E140" s="928">
        <f t="shared" si="8"/>
        <v>10.126582278481012</v>
      </c>
      <c r="F140" s="920">
        <v>1</v>
      </c>
      <c r="G140" s="924">
        <f t="shared" si="9"/>
        <v>72</v>
      </c>
      <c r="H140" s="606" t="s">
        <v>543</v>
      </c>
      <c r="I140" s="921"/>
      <c r="J140" s="921"/>
      <c r="K140" s="697" t="s">
        <v>544</v>
      </c>
      <c r="L140" s="930"/>
      <c r="M140" s="930"/>
      <c r="N140" s="930"/>
      <c r="O140" s="930"/>
      <c r="P140" s="931"/>
    </row>
    <row r="141" spans="1:16" hidden="1">
      <c r="A141" s="921"/>
      <c r="B141" s="925" t="s">
        <v>157</v>
      </c>
      <c r="C141" s="922"/>
      <c r="D141" s="923">
        <f>'[2]总投资-发采购-0411-GLP拆分场外费用(司调)'!G157</f>
        <v>1</v>
      </c>
      <c r="E141" s="928">
        <f t="shared" si="8"/>
        <v>0.14064697609001406</v>
      </c>
      <c r="F141" s="920">
        <v>1</v>
      </c>
      <c r="G141" s="924">
        <f t="shared" si="9"/>
        <v>1</v>
      </c>
      <c r="H141" s="606" t="s">
        <v>543</v>
      </c>
      <c r="I141" s="921"/>
      <c r="J141" s="921"/>
      <c r="K141" s="697" t="s">
        <v>544</v>
      </c>
      <c r="L141" s="930"/>
      <c r="M141" s="930"/>
      <c r="N141" s="930"/>
      <c r="O141" s="930"/>
      <c r="P141" s="931"/>
    </row>
    <row r="142" spans="1:16" hidden="1">
      <c r="A142" s="921"/>
      <c r="B142" s="925" t="s">
        <v>158</v>
      </c>
      <c r="C142" s="922"/>
      <c r="D142" s="923">
        <f>'[2]总投资-发采购-0411-GLP拆分场外费用(司调)'!G158</f>
        <v>13</v>
      </c>
      <c r="E142" s="928">
        <f t="shared" si="8"/>
        <v>1.8284106891701828</v>
      </c>
      <c r="F142" s="920">
        <v>1</v>
      </c>
      <c r="G142" s="924">
        <f t="shared" si="9"/>
        <v>13</v>
      </c>
      <c r="H142" s="606" t="s">
        <v>543</v>
      </c>
      <c r="I142" s="921"/>
      <c r="J142" s="921"/>
      <c r="K142" s="697" t="s">
        <v>544</v>
      </c>
      <c r="L142" s="930"/>
      <c r="M142" s="930"/>
      <c r="N142" s="930"/>
      <c r="O142" s="930"/>
      <c r="P142" s="931"/>
    </row>
    <row r="143" spans="1:16" hidden="1">
      <c r="A143" s="921"/>
      <c r="B143" s="925" t="s">
        <v>159</v>
      </c>
      <c r="C143" s="922"/>
      <c r="D143" s="923">
        <f>'[2]总投资-发采购-0411-GLP拆分场外费用(司调)'!G159</f>
        <v>58</v>
      </c>
      <c r="E143" s="928">
        <f t="shared" si="8"/>
        <v>8.157524613220815</v>
      </c>
      <c r="F143" s="920">
        <v>1</v>
      </c>
      <c r="G143" s="924">
        <f t="shared" si="9"/>
        <v>58</v>
      </c>
      <c r="H143" s="606" t="s">
        <v>543</v>
      </c>
      <c r="I143" s="921"/>
      <c r="J143" s="921"/>
      <c r="K143" s="697" t="s">
        <v>544</v>
      </c>
      <c r="L143" s="930"/>
      <c r="M143" s="930"/>
      <c r="N143" s="930"/>
      <c r="O143" s="930"/>
      <c r="P143" s="931"/>
    </row>
    <row r="144" spans="1:16" hidden="1">
      <c r="A144" s="921">
        <v>2.14</v>
      </c>
      <c r="B144" s="925" t="s">
        <v>282</v>
      </c>
      <c r="C144" s="922"/>
      <c r="D144" s="923">
        <f>'[2]总投资-发采购-0411-GLP拆分场外费用(司调)'!G160</f>
        <v>17183.3026631424</v>
      </c>
      <c r="E144" s="928">
        <f t="shared" si="8"/>
        <v>2416.7795588104641</v>
      </c>
      <c r="F144" s="920">
        <v>1</v>
      </c>
      <c r="G144" s="924">
        <f t="shared" si="9"/>
        <v>17183.3026631424</v>
      </c>
      <c r="H144" s="606" t="s">
        <v>543</v>
      </c>
      <c r="I144" s="921"/>
      <c r="J144" s="921"/>
      <c r="K144" s="697" t="s">
        <v>544</v>
      </c>
      <c r="L144" s="930"/>
      <c r="M144" s="930"/>
      <c r="N144" s="930"/>
      <c r="O144" s="930"/>
      <c r="P144" s="931"/>
    </row>
    <row r="145" spans="1:16" hidden="1">
      <c r="A145" s="921" t="s">
        <v>283</v>
      </c>
      <c r="B145" s="925" t="s">
        <v>141</v>
      </c>
      <c r="C145" s="922"/>
      <c r="D145" s="923">
        <f>'[2]总投资-发采购-0411-GLP拆分场外费用(司调)'!G161</f>
        <v>13708.4401640299</v>
      </c>
      <c r="E145" s="928">
        <f t="shared" si="8"/>
        <v>1928.0506559817018</v>
      </c>
      <c r="F145" s="920">
        <v>1</v>
      </c>
      <c r="G145" s="924">
        <f t="shared" si="9"/>
        <v>13708.4401640299</v>
      </c>
      <c r="H145" s="606" t="s">
        <v>543</v>
      </c>
      <c r="I145" s="921"/>
      <c r="J145" s="921"/>
      <c r="K145" s="697" t="s">
        <v>544</v>
      </c>
      <c r="L145" s="930"/>
      <c r="M145" s="930"/>
      <c r="N145" s="930"/>
      <c r="O145" s="930"/>
      <c r="P145" s="931"/>
    </row>
    <row r="146" spans="1:16" hidden="1">
      <c r="A146" s="921" t="s">
        <v>284</v>
      </c>
      <c r="B146" s="925" t="s">
        <v>143</v>
      </c>
      <c r="C146" s="922"/>
      <c r="D146" s="923">
        <f>'[2]总投资-发采购-0411-GLP拆分场外费用(司调)'!G162</f>
        <v>46.271999999999998</v>
      </c>
      <c r="E146" s="928">
        <f t="shared" si="8"/>
        <v>6.5080168776371305</v>
      </c>
      <c r="F146" s="920">
        <v>1</v>
      </c>
      <c r="G146" s="924">
        <f t="shared" si="9"/>
        <v>46.271999999999998</v>
      </c>
      <c r="H146" s="606" t="s">
        <v>543</v>
      </c>
      <c r="I146" s="921"/>
      <c r="J146" s="921"/>
      <c r="K146" s="697" t="s">
        <v>544</v>
      </c>
      <c r="L146" s="930"/>
      <c r="M146" s="930"/>
      <c r="N146" s="930"/>
      <c r="O146" s="930"/>
      <c r="P146" s="931"/>
    </row>
    <row r="147" spans="1:16" hidden="1">
      <c r="A147" s="921" t="s">
        <v>285</v>
      </c>
      <c r="B147" s="925" t="s">
        <v>145</v>
      </c>
      <c r="C147" s="922"/>
      <c r="D147" s="923">
        <f>'[2]总投资-发采购-0411-GLP拆分场外费用(司调)'!G163</f>
        <v>416.44799999999998</v>
      </c>
      <c r="E147" s="928">
        <f t="shared" si="8"/>
        <v>58.57215189873417</v>
      </c>
      <c r="F147" s="920">
        <v>1</v>
      </c>
      <c r="G147" s="924">
        <f t="shared" si="9"/>
        <v>416.44799999999998</v>
      </c>
      <c r="H147" s="606" t="s">
        <v>543</v>
      </c>
      <c r="I147" s="921"/>
      <c r="J147" s="921"/>
      <c r="K147" s="697" t="s">
        <v>544</v>
      </c>
      <c r="L147" s="930"/>
      <c r="M147" s="930"/>
      <c r="N147" s="930"/>
      <c r="O147" s="930"/>
      <c r="P147" s="931"/>
    </row>
    <row r="148" spans="1:16" hidden="1">
      <c r="A148" s="921" t="s">
        <v>286</v>
      </c>
      <c r="B148" s="925" t="s">
        <v>147</v>
      </c>
      <c r="C148" s="922"/>
      <c r="D148" s="923">
        <f>'[2]总投资-发采购-0411-GLP拆分场外费用(司调)'!G164</f>
        <v>323.904</v>
      </c>
      <c r="E148" s="928">
        <f t="shared" si="8"/>
        <v>45.556118143459912</v>
      </c>
      <c r="F148" s="920">
        <v>1</v>
      </c>
      <c r="G148" s="924">
        <f t="shared" si="9"/>
        <v>323.904</v>
      </c>
      <c r="H148" s="606" t="s">
        <v>543</v>
      </c>
      <c r="I148" s="921"/>
      <c r="J148" s="921"/>
      <c r="K148" s="697" t="s">
        <v>544</v>
      </c>
      <c r="L148" s="930"/>
      <c r="M148" s="930"/>
      <c r="N148" s="930"/>
      <c r="O148" s="930"/>
      <c r="P148" s="931"/>
    </row>
    <row r="149" spans="1:16" hidden="1">
      <c r="A149" s="921" t="s">
        <v>287</v>
      </c>
      <c r="B149" s="925" t="s">
        <v>149</v>
      </c>
      <c r="C149" s="922"/>
      <c r="D149" s="923">
        <f>'[2]总投资-发采购-0411-GLP拆分场外费用(司调)'!G165</f>
        <v>717.21600000000001</v>
      </c>
      <c r="E149" s="928">
        <f t="shared" si="8"/>
        <v>100.87426160337553</v>
      </c>
      <c r="F149" s="920">
        <v>1</v>
      </c>
      <c r="G149" s="924">
        <f t="shared" si="9"/>
        <v>717.21600000000001</v>
      </c>
      <c r="H149" s="606" t="s">
        <v>543</v>
      </c>
      <c r="I149" s="921"/>
      <c r="J149" s="921"/>
      <c r="K149" s="697" t="s">
        <v>544</v>
      </c>
      <c r="L149" s="930"/>
      <c r="M149" s="930"/>
      <c r="N149" s="930"/>
      <c r="O149" s="930"/>
      <c r="P149" s="931"/>
    </row>
    <row r="150" spans="1:16" hidden="1">
      <c r="A150" s="921" t="s">
        <v>288</v>
      </c>
      <c r="B150" s="925" t="s">
        <v>151</v>
      </c>
      <c r="C150" s="922"/>
      <c r="D150" s="923">
        <f>'[2]总投资-发采购-0411-GLP拆分场外费用(司调)'!G166</f>
        <v>197.63889077867299</v>
      </c>
      <c r="E150" s="928">
        <f t="shared" si="8"/>
        <v>27.797312345804919</v>
      </c>
      <c r="F150" s="920">
        <v>1</v>
      </c>
      <c r="G150" s="924">
        <f t="shared" si="9"/>
        <v>197.63889077867299</v>
      </c>
      <c r="H150" s="606" t="s">
        <v>543</v>
      </c>
      <c r="I150" s="921"/>
      <c r="J150" s="921"/>
      <c r="K150" s="697" t="s">
        <v>544</v>
      </c>
      <c r="L150" s="930"/>
      <c r="M150" s="930"/>
      <c r="N150" s="930"/>
      <c r="O150" s="930"/>
      <c r="P150" s="931"/>
    </row>
    <row r="151" spans="1:16" hidden="1">
      <c r="A151" s="921" t="s">
        <v>289</v>
      </c>
      <c r="B151" s="925" t="s">
        <v>153</v>
      </c>
      <c r="C151" s="922"/>
      <c r="D151" s="923">
        <f>'[2]总投资-发采购-0411-GLP拆分场外费用(司调)'!G167</f>
        <v>723</v>
      </c>
      <c r="E151" s="928">
        <f t="shared" si="8"/>
        <v>101.68776371308016</v>
      </c>
      <c r="F151" s="920">
        <v>1</v>
      </c>
      <c r="G151" s="924">
        <f t="shared" si="9"/>
        <v>723</v>
      </c>
      <c r="H151" s="606" t="s">
        <v>543</v>
      </c>
      <c r="I151" s="921"/>
      <c r="J151" s="921"/>
      <c r="K151" s="697" t="s">
        <v>544</v>
      </c>
      <c r="L151" s="930"/>
      <c r="M151" s="930"/>
      <c r="N151" s="930"/>
      <c r="O151" s="930"/>
      <c r="P151" s="931"/>
    </row>
    <row r="152" spans="1:16" hidden="1">
      <c r="A152" s="921"/>
      <c r="B152" s="925" t="s">
        <v>155</v>
      </c>
      <c r="C152" s="922"/>
      <c r="D152" s="923">
        <f>'[2]总投资-发采购-0411-GLP拆分场外费用(司调)'!G168</f>
        <v>972.38360833383695</v>
      </c>
      <c r="E152" s="928">
        <f t="shared" si="8"/>
        <v>136.76281411165075</v>
      </c>
      <c r="F152" s="920">
        <v>1</v>
      </c>
      <c r="G152" s="924">
        <f t="shared" si="9"/>
        <v>972.38360833383695</v>
      </c>
      <c r="H152" s="606" t="s">
        <v>543</v>
      </c>
      <c r="I152" s="921"/>
      <c r="J152" s="921"/>
      <c r="K152" s="697" t="s">
        <v>544</v>
      </c>
      <c r="L152" s="930"/>
      <c r="M152" s="930"/>
      <c r="N152" s="930"/>
      <c r="O152" s="930"/>
      <c r="P152" s="931"/>
    </row>
    <row r="153" spans="1:16" hidden="1">
      <c r="A153" s="921" t="s">
        <v>290</v>
      </c>
      <c r="B153" s="925" t="s">
        <v>156</v>
      </c>
      <c r="C153" s="922"/>
      <c r="D153" s="923">
        <f>'[2]总投资-发采购-0411-GLP拆分场外费用(司调)'!G169</f>
        <v>78</v>
      </c>
      <c r="E153" s="928">
        <f t="shared" si="8"/>
        <v>10.970464135021096</v>
      </c>
      <c r="F153" s="920">
        <v>1</v>
      </c>
      <c r="G153" s="924">
        <f t="shared" si="9"/>
        <v>78</v>
      </c>
      <c r="H153" s="606" t="s">
        <v>543</v>
      </c>
      <c r="I153" s="921"/>
      <c r="J153" s="921"/>
      <c r="K153" s="697" t="s">
        <v>544</v>
      </c>
      <c r="L153" s="930"/>
      <c r="M153" s="930"/>
      <c r="N153" s="930"/>
      <c r="O153" s="930"/>
      <c r="P153" s="931"/>
    </row>
    <row r="154" spans="1:16" hidden="1">
      <c r="A154" s="921"/>
      <c r="B154" s="925" t="s">
        <v>157</v>
      </c>
      <c r="C154" s="922"/>
      <c r="D154" s="923">
        <f>'[2]总投资-发采购-0411-GLP拆分场外费用(司调)'!G170</f>
        <v>1</v>
      </c>
      <c r="E154" s="928">
        <f t="shared" si="8"/>
        <v>0.14064697609001406</v>
      </c>
      <c r="F154" s="920">
        <v>1</v>
      </c>
      <c r="G154" s="924">
        <f t="shared" si="9"/>
        <v>1</v>
      </c>
      <c r="H154" s="606" t="s">
        <v>543</v>
      </c>
      <c r="I154" s="921"/>
      <c r="J154" s="921"/>
      <c r="K154" s="697" t="s">
        <v>544</v>
      </c>
      <c r="L154" s="930"/>
      <c r="M154" s="930"/>
      <c r="N154" s="930"/>
      <c r="O154" s="930"/>
      <c r="P154" s="931"/>
    </row>
    <row r="155" spans="1:16" hidden="1">
      <c r="A155" s="921"/>
      <c r="B155" s="925" t="s">
        <v>158</v>
      </c>
      <c r="C155" s="922"/>
      <c r="D155" s="923">
        <f>'[2]总投资-发采购-0411-GLP拆分场外费用(司调)'!G171</f>
        <v>14</v>
      </c>
      <c r="E155" s="928">
        <f t="shared" si="8"/>
        <v>1.9690576652601968</v>
      </c>
      <c r="F155" s="920">
        <v>1</v>
      </c>
      <c r="G155" s="924">
        <f t="shared" si="9"/>
        <v>14</v>
      </c>
      <c r="H155" s="606" t="s">
        <v>543</v>
      </c>
      <c r="I155" s="921"/>
      <c r="J155" s="921"/>
      <c r="K155" s="697" t="s">
        <v>544</v>
      </c>
      <c r="L155" s="930"/>
      <c r="M155" s="930"/>
      <c r="N155" s="930"/>
      <c r="O155" s="930"/>
      <c r="P155" s="931"/>
    </row>
    <row r="156" spans="1:16" hidden="1">
      <c r="A156" s="921"/>
      <c r="B156" s="925" t="s">
        <v>159</v>
      </c>
      <c r="C156" s="922"/>
      <c r="D156" s="923">
        <f>'[2]总投资-发采购-0411-GLP拆分场外费用(司调)'!G172</f>
        <v>63</v>
      </c>
      <c r="E156" s="928">
        <f t="shared" si="8"/>
        <v>8.8607594936708853</v>
      </c>
      <c r="F156" s="920">
        <v>1</v>
      </c>
      <c r="G156" s="924">
        <f t="shared" si="9"/>
        <v>63</v>
      </c>
      <c r="H156" s="606" t="s">
        <v>543</v>
      </c>
      <c r="I156" s="921"/>
      <c r="J156" s="921"/>
      <c r="K156" s="697" t="s">
        <v>544</v>
      </c>
      <c r="L156" s="930"/>
      <c r="M156" s="930"/>
      <c r="N156" s="930"/>
      <c r="O156" s="930"/>
      <c r="P156" s="931"/>
    </row>
    <row r="157" spans="1:16">
      <c r="A157" s="606" t="s">
        <v>41</v>
      </c>
      <c r="B157" s="709" t="s">
        <v>638</v>
      </c>
      <c r="C157" s="709" t="s">
        <v>639</v>
      </c>
      <c r="D157" s="710">
        <f>SUM('[2]总投资-发采购-0411-GLP拆分场外费用(司调)'!G30,'[2]总投资-发采购-0411-GLP拆分场外费用(司调)'!G43,'[2]总投资-发采购-0411-GLP拆分场外费用(司调)'!G56,'[2]总投资-发采购-0411-GLP拆分场外费用(司调)'!G69)</f>
        <v>23398.367016560886</v>
      </c>
      <c r="E157" s="711">
        <f t="shared" si="8"/>
        <v>3290.9095663236126</v>
      </c>
      <c r="F157" s="920">
        <v>1</v>
      </c>
      <c r="G157" s="712">
        <f t="shared" si="9"/>
        <v>23398.367016560886</v>
      </c>
      <c r="H157" s="606" t="s">
        <v>543</v>
      </c>
      <c r="I157" s="606" t="s">
        <v>30</v>
      </c>
      <c r="J157" s="606">
        <v>18</v>
      </c>
      <c r="K157" s="697" t="s">
        <v>31</v>
      </c>
      <c r="L157" s="738" t="s">
        <v>293</v>
      </c>
      <c r="M157" s="738" t="s">
        <v>294</v>
      </c>
      <c r="N157" s="738" t="s">
        <v>295</v>
      </c>
      <c r="O157" s="738" t="s">
        <v>296</v>
      </c>
      <c r="P157" s="697"/>
    </row>
    <row r="158" spans="1:16" hidden="1">
      <c r="A158" s="921">
        <v>2.4</v>
      </c>
      <c r="B158" s="925" t="s">
        <v>297</v>
      </c>
      <c r="C158" s="922"/>
      <c r="D158" s="923">
        <f>'[2]总投资-发采购-0411-GLP拆分场外费用(司调)'!G30</f>
        <v>5921.3918794486299</v>
      </c>
      <c r="E158" s="928">
        <f t="shared" si="8"/>
        <v>832.82586208841485</v>
      </c>
      <c r="F158" s="920">
        <v>1</v>
      </c>
      <c r="G158" s="924">
        <f t="shared" ref="G158:G211" si="10">D158</f>
        <v>5921.3918794486299</v>
      </c>
      <c r="H158" s="606" t="s">
        <v>543</v>
      </c>
      <c r="I158" s="606"/>
      <c r="J158" s="606"/>
      <c r="K158" s="697" t="s">
        <v>544</v>
      </c>
      <c r="L158" s="738"/>
      <c r="M158" s="738"/>
      <c r="N158" s="738"/>
      <c r="O158" s="738"/>
      <c r="P158" s="697"/>
    </row>
    <row r="159" spans="1:16" hidden="1">
      <c r="A159" s="921" t="s">
        <v>298</v>
      </c>
      <c r="B159" s="925" t="s">
        <v>141</v>
      </c>
      <c r="C159" s="922"/>
      <c r="D159" s="923">
        <f>'[2]总投资-发采购-0411-GLP拆分场外费用(司调)'!G31</f>
        <v>3574</v>
      </c>
      <c r="E159" s="928">
        <f t="shared" si="8"/>
        <v>502.67229254571026</v>
      </c>
      <c r="F159" s="920">
        <v>1</v>
      </c>
      <c r="G159" s="924">
        <f t="shared" si="10"/>
        <v>3574</v>
      </c>
      <c r="H159" s="606" t="s">
        <v>543</v>
      </c>
      <c r="I159" s="606"/>
      <c r="J159" s="606"/>
      <c r="K159" s="697" t="s">
        <v>544</v>
      </c>
      <c r="L159" s="738"/>
      <c r="M159" s="738"/>
      <c r="N159" s="738"/>
      <c r="O159" s="738"/>
      <c r="P159" s="697"/>
    </row>
    <row r="160" spans="1:16" hidden="1">
      <c r="A160" s="921" t="s">
        <v>299</v>
      </c>
      <c r="B160" s="925" t="s">
        <v>143</v>
      </c>
      <c r="C160" s="922"/>
      <c r="D160" s="923">
        <f>'[2]总投资-发采购-0411-GLP拆分场外费用(司调)'!G32</f>
        <v>18.29888</v>
      </c>
      <c r="E160" s="928">
        <f t="shared" si="8"/>
        <v>2.5736821378340364</v>
      </c>
      <c r="F160" s="920">
        <v>1</v>
      </c>
      <c r="G160" s="924">
        <f t="shared" si="10"/>
        <v>18.29888</v>
      </c>
      <c r="H160" s="606" t="s">
        <v>543</v>
      </c>
      <c r="I160" s="606"/>
      <c r="J160" s="606"/>
      <c r="K160" s="697" t="s">
        <v>544</v>
      </c>
      <c r="L160" s="738"/>
      <c r="M160" s="738"/>
      <c r="N160" s="738"/>
      <c r="O160" s="738"/>
      <c r="P160" s="697"/>
    </row>
    <row r="161" spans="1:16" hidden="1">
      <c r="A161" s="921" t="s">
        <v>300</v>
      </c>
      <c r="B161" s="925" t="s">
        <v>145</v>
      </c>
      <c r="C161" s="922"/>
      <c r="D161" s="923">
        <f>'[2]总投资-发采购-0411-GLP拆分场外费用(司调)'!G33</f>
        <v>164.68992</v>
      </c>
      <c r="E161" s="928">
        <f t="shared" si="8"/>
        <v>23.163139240506329</v>
      </c>
      <c r="F161" s="920">
        <v>1</v>
      </c>
      <c r="G161" s="924">
        <f t="shared" si="10"/>
        <v>164.68992</v>
      </c>
      <c r="H161" s="606" t="s">
        <v>543</v>
      </c>
      <c r="I161" s="606"/>
      <c r="J161" s="606"/>
      <c r="K161" s="697" t="s">
        <v>544</v>
      </c>
      <c r="L161" s="738"/>
      <c r="M161" s="738"/>
      <c r="N161" s="738"/>
      <c r="O161" s="738"/>
      <c r="P161" s="697"/>
    </row>
    <row r="162" spans="1:16" hidden="1">
      <c r="A162" s="921" t="s">
        <v>301</v>
      </c>
      <c r="B162" s="925" t="s">
        <v>147</v>
      </c>
      <c r="C162" s="922"/>
      <c r="D162" s="923">
        <f>'[2]总投资-发采购-0411-GLP拆分场外费用(司调)'!G34</f>
        <v>128.09216000000001</v>
      </c>
      <c r="E162" s="928">
        <f t="shared" si="8"/>
        <v>18.015774964838258</v>
      </c>
      <c r="F162" s="920">
        <v>1</v>
      </c>
      <c r="G162" s="924">
        <f t="shared" si="10"/>
        <v>128.09216000000001</v>
      </c>
      <c r="H162" s="606" t="s">
        <v>543</v>
      </c>
      <c r="I162" s="606"/>
      <c r="J162" s="606"/>
      <c r="K162" s="697" t="s">
        <v>544</v>
      </c>
      <c r="L162" s="738"/>
      <c r="M162" s="738"/>
      <c r="N162" s="738"/>
      <c r="O162" s="738"/>
      <c r="P162" s="697"/>
    </row>
    <row r="163" spans="1:16" hidden="1">
      <c r="A163" s="921" t="s">
        <v>302</v>
      </c>
      <c r="B163" s="925" t="s">
        <v>149</v>
      </c>
      <c r="C163" s="922"/>
      <c r="D163" s="923">
        <f>'[2]总投资-发采购-0411-GLP拆分场外费用(司调)'!G35</f>
        <v>283.63263999999998</v>
      </c>
      <c r="E163" s="928">
        <f t="shared" si="8"/>
        <v>39.892073136427562</v>
      </c>
      <c r="F163" s="920">
        <v>1</v>
      </c>
      <c r="G163" s="924">
        <f t="shared" si="10"/>
        <v>283.63263999999998</v>
      </c>
      <c r="H163" s="606" t="s">
        <v>543</v>
      </c>
      <c r="I163" s="606"/>
      <c r="J163" s="606"/>
      <c r="K163" s="697" t="s">
        <v>544</v>
      </c>
      <c r="L163" s="738"/>
      <c r="M163" s="738"/>
      <c r="N163" s="738"/>
      <c r="O163" s="738"/>
      <c r="P163" s="697"/>
    </row>
    <row r="164" spans="1:16" hidden="1">
      <c r="A164" s="921" t="s">
        <v>303</v>
      </c>
      <c r="B164" s="925" t="s">
        <v>151</v>
      </c>
      <c r="C164" s="922"/>
      <c r="D164" s="923">
        <f>'[2]总投资-发采购-0411-GLP拆分场外费用(司调)'!G36</f>
        <v>78.158937277231303</v>
      </c>
      <c r="E164" s="928">
        <f t="shared" si="8"/>
        <v>10.992818182451659</v>
      </c>
      <c r="F164" s="920">
        <v>1</v>
      </c>
      <c r="G164" s="924">
        <f t="shared" si="10"/>
        <v>78.158937277231303</v>
      </c>
      <c r="H164" s="606" t="s">
        <v>543</v>
      </c>
      <c r="I164" s="606"/>
      <c r="J164" s="606"/>
      <c r="K164" s="697" t="s">
        <v>544</v>
      </c>
      <c r="L164" s="738"/>
      <c r="M164" s="738"/>
      <c r="N164" s="738"/>
      <c r="O164" s="738"/>
      <c r="P164" s="697"/>
    </row>
    <row r="165" spans="1:16" hidden="1">
      <c r="A165" s="921" t="s">
        <v>304</v>
      </c>
      <c r="B165" s="925" t="s">
        <v>153</v>
      </c>
      <c r="C165" s="922"/>
      <c r="D165" s="923">
        <f>'[2]总投资-发采购-0411-GLP拆分场外费用(司调)'!G37</f>
        <v>571.84</v>
      </c>
      <c r="E165" s="928">
        <f t="shared" si="8"/>
        <v>80.427566807313639</v>
      </c>
      <c r="F165" s="920">
        <v>1</v>
      </c>
      <c r="G165" s="924">
        <f t="shared" si="10"/>
        <v>571.84</v>
      </c>
      <c r="H165" s="606" t="s">
        <v>543</v>
      </c>
      <c r="I165" s="606"/>
      <c r="J165" s="606"/>
      <c r="K165" s="697" t="s">
        <v>544</v>
      </c>
      <c r="L165" s="738"/>
      <c r="M165" s="738"/>
      <c r="N165" s="738"/>
      <c r="O165" s="738"/>
      <c r="P165" s="697"/>
    </row>
    <row r="166" spans="1:16" hidden="1">
      <c r="A166" s="921"/>
      <c r="B166" s="925" t="s">
        <v>155</v>
      </c>
      <c r="C166" s="922"/>
      <c r="D166" s="923">
        <f>'[2]总投资-发采购-0411-GLP拆分场外费用(司调)'!G38</f>
        <v>1036.6793421714001</v>
      </c>
      <c r="E166" s="928">
        <f t="shared" si="8"/>
        <v>145.80581465139241</v>
      </c>
      <c r="F166" s="920">
        <v>1</v>
      </c>
      <c r="G166" s="924">
        <f t="shared" si="10"/>
        <v>1036.6793421714001</v>
      </c>
      <c r="H166" s="606" t="s">
        <v>543</v>
      </c>
      <c r="I166" s="606"/>
      <c r="J166" s="606"/>
      <c r="K166" s="697" t="s">
        <v>544</v>
      </c>
      <c r="L166" s="738"/>
      <c r="M166" s="738"/>
      <c r="N166" s="738"/>
      <c r="O166" s="738"/>
      <c r="P166" s="697"/>
    </row>
    <row r="167" spans="1:16" hidden="1">
      <c r="A167" s="921" t="s">
        <v>305</v>
      </c>
      <c r="B167" s="925" t="s">
        <v>156</v>
      </c>
      <c r="C167" s="922"/>
      <c r="D167" s="923">
        <f>'[2]总投资-发采购-0411-GLP拆分场外费用(司调)'!G39</f>
        <v>66</v>
      </c>
      <c r="E167" s="928">
        <f t="shared" si="8"/>
        <v>9.2827004219409286</v>
      </c>
      <c r="F167" s="920">
        <v>1</v>
      </c>
      <c r="G167" s="924">
        <f t="shared" si="10"/>
        <v>66</v>
      </c>
      <c r="H167" s="606" t="s">
        <v>543</v>
      </c>
      <c r="I167" s="606"/>
      <c r="J167" s="606"/>
      <c r="K167" s="697" t="s">
        <v>544</v>
      </c>
      <c r="L167" s="738"/>
      <c r="M167" s="738"/>
      <c r="N167" s="738"/>
      <c r="O167" s="738"/>
      <c r="P167" s="697"/>
    </row>
    <row r="168" spans="1:16" hidden="1">
      <c r="A168" s="921"/>
      <c r="B168" s="925" t="s">
        <v>157</v>
      </c>
      <c r="C168" s="922"/>
      <c r="D168" s="923">
        <f>'[2]总投资-发采购-0411-GLP拆分场外费用(司调)'!G40</f>
        <v>2</v>
      </c>
      <c r="E168" s="928">
        <f t="shared" si="8"/>
        <v>0.28129395218002812</v>
      </c>
      <c r="F168" s="920">
        <v>1</v>
      </c>
      <c r="G168" s="924">
        <f t="shared" si="10"/>
        <v>2</v>
      </c>
      <c r="H168" s="606" t="s">
        <v>543</v>
      </c>
      <c r="I168" s="606"/>
      <c r="J168" s="606"/>
      <c r="K168" s="697" t="s">
        <v>544</v>
      </c>
      <c r="L168" s="738"/>
      <c r="M168" s="738"/>
      <c r="N168" s="738"/>
      <c r="O168" s="738"/>
      <c r="P168" s="697"/>
    </row>
    <row r="169" spans="1:16" hidden="1">
      <c r="A169" s="921"/>
      <c r="B169" s="925" t="s">
        <v>158</v>
      </c>
      <c r="C169" s="922"/>
      <c r="D169" s="923">
        <f>'[2]总投资-发采购-0411-GLP拆分场外费用(司调)'!G41</f>
        <v>11</v>
      </c>
      <c r="E169" s="928">
        <f t="shared" si="8"/>
        <v>1.5471167369901546</v>
      </c>
      <c r="F169" s="920">
        <v>1</v>
      </c>
      <c r="G169" s="924">
        <f t="shared" si="10"/>
        <v>11</v>
      </c>
      <c r="H169" s="606" t="s">
        <v>543</v>
      </c>
      <c r="I169" s="606"/>
      <c r="J169" s="606"/>
      <c r="K169" s="697" t="s">
        <v>544</v>
      </c>
      <c r="L169" s="738"/>
      <c r="M169" s="738"/>
      <c r="N169" s="738"/>
      <c r="O169" s="738"/>
      <c r="P169" s="697"/>
    </row>
    <row r="170" spans="1:16" hidden="1">
      <c r="A170" s="921"/>
      <c r="B170" s="925" t="s">
        <v>159</v>
      </c>
      <c r="C170" s="922"/>
      <c r="D170" s="923">
        <f>'[2]总投资-发采购-0411-GLP拆分场外费用(司调)'!G42</f>
        <v>53</v>
      </c>
      <c r="E170" s="928">
        <f t="shared" si="8"/>
        <v>7.4542897327707447</v>
      </c>
      <c r="F170" s="920">
        <v>1</v>
      </c>
      <c r="G170" s="924">
        <f t="shared" si="10"/>
        <v>53</v>
      </c>
      <c r="H170" s="606" t="s">
        <v>543</v>
      </c>
      <c r="I170" s="606"/>
      <c r="J170" s="606"/>
      <c r="K170" s="697" t="s">
        <v>544</v>
      </c>
      <c r="L170" s="738"/>
      <c r="M170" s="738"/>
      <c r="N170" s="738"/>
      <c r="O170" s="738"/>
      <c r="P170" s="697"/>
    </row>
    <row r="171" spans="1:16" hidden="1">
      <c r="A171" s="921">
        <v>2.5</v>
      </c>
      <c r="B171" s="925" t="s">
        <v>306</v>
      </c>
      <c r="C171" s="922"/>
      <c r="D171" s="923">
        <f>'[2]总投资-发采购-0411-GLP拆分场外费用(司调)'!G43</f>
        <v>5952.1708779011697</v>
      </c>
      <c r="E171" s="928">
        <f t="shared" si="8"/>
        <v>837.15483514784376</v>
      </c>
      <c r="F171" s="920">
        <v>1</v>
      </c>
      <c r="G171" s="924">
        <f t="shared" si="10"/>
        <v>5952.1708779011697</v>
      </c>
      <c r="H171" s="606" t="s">
        <v>543</v>
      </c>
      <c r="I171" s="606"/>
      <c r="J171" s="606"/>
      <c r="K171" s="697" t="s">
        <v>544</v>
      </c>
      <c r="L171" s="738"/>
      <c r="M171" s="738"/>
      <c r="N171" s="738"/>
      <c r="O171" s="738"/>
      <c r="P171" s="697"/>
    </row>
    <row r="172" spans="1:16" hidden="1">
      <c r="A172" s="921" t="s">
        <v>307</v>
      </c>
      <c r="B172" s="925" t="s">
        <v>141</v>
      </c>
      <c r="C172" s="922"/>
      <c r="D172" s="923">
        <f>'[2]总投资-发采购-0411-GLP拆分场外费用(司调)'!G44</f>
        <v>3574</v>
      </c>
      <c r="E172" s="928">
        <f t="shared" si="8"/>
        <v>502.67229254571026</v>
      </c>
      <c r="F172" s="920">
        <v>1</v>
      </c>
      <c r="G172" s="924">
        <f t="shared" si="10"/>
        <v>3574</v>
      </c>
      <c r="H172" s="606" t="s">
        <v>543</v>
      </c>
      <c r="I172" s="606"/>
      <c r="J172" s="606"/>
      <c r="K172" s="697" t="s">
        <v>544</v>
      </c>
      <c r="L172" s="738"/>
      <c r="M172" s="738"/>
      <c r="N172" s="738"/>
      <c r="O172" s="738"/>
      <c r="P172" s="697"/>
    </row>
    <row r="173" spans="1:16" hidden="1">
      <c r="A173" s="921" t="s">
        <v>308</v>
      </c>
      <c r="B173" s="925" t="s">
        <v>143</v>
      </c>
      <c r="C173" s="922"/>
      <c r="D173" s="923">
        <f>'[2]总投资-发采购-0411-GLP拆分场外费用(司调)'!G45</f>
        <v>18.29888</v>
      </c>
      <c r="E173" s="928">
        <f t="shared" si="8"/>
        <v>2.5736821378340364</v>
      </c>
      <c r="F173" s="920">
        <v>1</v>
      </c>
      <c r="G173" s="924">
        <f t="shared" si="10"/>
        <v>18.29888</v>
      </c>
      <c r="H173" s="606" t="s">
        <v>543</v>
      </c>
      <c r="I173" s="606"/>
      <c r="J173" s="606"/>
      <c r="K173" s="697" t="s">
        <v>544</v>
      </c>
      <c r="L173" s="738"/>
      <c r="M173" s="738"/>
      <c r="N173" s="738"/>
      <c r="O173" s="738"/>
      <c r="P173" s="697"/>
    </row>
    <row r="174" spans="1:16" hidden="1">
      <c r="A174" s="921" t="s">
        <v>309</v>
      </c>
      <c r="B174" s="925" t="s">
        <v>145</v>
      </c>
      <c r="C174" s="922"/>
      <c r="D174" s="923">
        <f>'[2]总投资-发采购-0411-GLP拆分场外费用(司调)'!G46</f>
        <v>164.68992</v>
      </c>
      <c r="E174" s="928">
        <f t="shared" si="8"/>
        <v>23.163139240506329</v>
      </c>
      <c r="F174" s="920">
        <v>1</v>
      </c>
      <c r="G174" s="924">
        <f t="shared" si="10"/>
        <v>164.68992</v>
      </c>
      <c r="H174" s="606" t="s">
        <v>543</v>
      </c>
      <c r="I174" s="606"/>
      <c r="J174" s="606"/>
      <c r="K174" s="697" t="s">
        <v>544</v>
      </c>
      <c r="L174" s="738"/>
      <c r="M174" s="738"/>
      <c r="N174" s="738"/>
      <c r="O174" s="738"/>
      <c r="P174" s="697"/>
    </row>
    <row r="175" spans="1:16" hidden="1">
      <c r="A175" s="921" t="s">
        <v>310</v>
      </c>
      <c r="B175" s="925" t="s">
        <v>147</v>
      </c>
      <c r="C175" s="922"/>
      <c r="D175" s="923">
        <f>'[2]总投资-发采购-0411-GLP拆分场外费用(司调)'!G47</f>
        <v>128.09216000000001</v>
      </c>
      <c r="E175" s="928">
        <f t="shared" si="8"/>
        <v>18.015774964838258</v>
      </c>
      <c r="F175" s="920">
        <v>1</v>
      </c>
      <c r="G175" s="924">
        <f t="shared" si="10"/>
        <v>128.09216000000001</v>
      </c>
      <c r="H175" s="606" t="s">
        <v>543</v>
      </c>
      <c r="I175" s="606"/>
      <c r="J175" s="606"/>
      <c r="K175" s="697" t="s">
        <v>544</v>
      </c>
      <c r="L175" s="738"/>
      <c r="M175" s="738"/>
      <c r="N175" s="738"/>
      <c r="O175" s="738"/>
      <c r="P175" s="697"/>
    </row>
    <row r="176" spans="1:16" hidden="1">
      <c r="A176" s="921" t="s">
        <v>311</v>
      </c>
      <c r="B176" s="925" t="s">
        <v>149</v>
      </c>
      <c r="C176" s="922"/>
      <c r="D176" s="923">
        <f>'[2]总投资-发采购-0411-GLP拆分场外费用(司调)'!G48</f>
        <v>283.63263999999998</v>
      </c>
      <c r="E176" s="928">
        <f t="shared" si="8"/>
        <v>39.892073136427562</v>
      </c>
      <c r="F176" s="920">
        <v>1</v>
      </c>
      <c r="G176" s="924">
        <f t="shared" si="10"/>
        <v>283.63263999999998</v>
      </c>
      <c r="H176" s="606" t="s">
        <v>543</v>
      </c>
      <c r="I176" s="606"/>
      <c r="J176" s="606"/>
      <c r="K176" s="697" t="s">
        <v>544</v>
      </c>
      <c r="L176" s="738"/>
      <c r="M176" s="738"/>
      <c r="N176" s="738"/>
      <c r="O176" s="738"/>
      <c r="P176" s="697"/>
    </row>
    <row r="177" spans="1:16" hidden="1">
      <c r="A177" s="921" t="s">
        <v>312</v>
      </c>
      <c r="B177" s="925" t="s">
        <v>151</v>
      </c>
      <c r="C177" s="922"/>
      <c r="D177" s="923">
        <f>'[2]总投资-发采购-0411-GLP拆分场外费用(司调)'!G49</f>
        <v>78.158937277231303</v>
      </c>
      <c r="E177" s="928">
        <f t="shared" si="8"/>
        <v>10.992818182451659</v>
      </c>
      <c r="F177" s="920">
        <v>1</v>
      </c>
      <c r="G177" s="924">
        <f t="shared" si="10"/>
        <v>78.158937277231303</v>
      </c>
      <c r="H177" s="606" t="s">
        <v>543</v>
      </c>
      <c r="I177" s="606"/>
      <c r="J177" s="606"/>
      <c r="K177" s="697" t="s">
        <v>544</v>
      </c>
      <c r="L177" s="738"/>
      <c r="M177" s="738"/>
      <c r="N177" s="738"/>
      <c r="O177" s="738"/>
      <c r="P177" s="697"/>
    </row>
    <row r="178" spans="1:16" hidden="1">
      <c r="A178" s="921" t="s">
        <v>313</v>
      </c>
      <c r="B178" s="925" t="s">
        <v>153</v>
      </c>
      <c r="C178" s="922"/>
      <c r="D178" s="923">
        <f>'[2]总投资-发采购-0411-GLP拆分场外费用(司调)'!G50</f>
        <v>571.84</v>
      </c>
      <c r="E178" s="928">
        <f t="shared" si="8"/>
        <v>80.427566807313639</v>
      </c>
      <c r="F178" s="920">
        <v>1</v>
      </c>
      <c r="G178" s="924">
        <f t="shared" si="10"/>
        <v>571.84</v>
      </c>
      <c r="H178" s="606" t="s">
        <v>543</v>
      </c>
      <c r="I178" s="606"/>
      <c r="J178" s="606"/>
      <c r="K178" s="697" t="s">
        <v>544</v>
      </c>
      <c r="L178" s="738"/>
      <c r="M178" s="738"/>
      <c r="N178" s="738"/>
      <c r="O178" s="738"/>
      <c r="P178" s="697"/>
    </row>
    <row r="179" spans="1:16" hidden="1">
      <c r="A179" s="921"/>
      <c r="B179" s="925" t="s">
        <v>155</v>
      </c>
      <c r="C179" s="922"/>
      <c r="D179" s="923">
        <f>'[2]总投资-发采购-0411-GLP拆分场外费用(司调)'!G51</f>
        <v>1068.4583406239401</v>
      </c>
      <c r="E179" s="928">
        <f t="shared" si="8"/>
        <v>150.27543468691141</v>
      </c>
      <c r="F179" s="920">
        <v>1</v>
      </c>
      <c r="G179" s="924">
        <f t="shared" si="10"/>
        <v>1068.4583406239401</v>
      </c>
      <c r="H179" s="606" t="s">
        <v>543</v>
      </c>
      <c r="I179" s="606"/>
      <c r="J179" s="606"/>
      <c r="K179" s="697" t="s">
        <v>544</v>
      </c>
      <c r="L179" s="738"/>
      <c r="M179" s="738"/>
      <c r="N179" s="738"/>
      <c r="O179" s="738"/>
      <c r="P179" s="697"/>
    </row>
    <row r="180" spans="1:16" hidden="1">
      <c r="A180" s="921" t="s">
        <v>314</v>
      </c>
      <c r="B180" s="925" t="s">
        <v>156</v>
      </c>
      <c r="C180" s="922"/>
      <c r="D180" s="923">
        <f>'[2]总投资-发采购-0411-GLP拆分场外费用(司调)'!G52</f>
        <v>65</v>
      </c>
      <c r="E180" s="928">
        <f t="shared" si="8"/>
        <v>9.1420534458509142</v>
      </c>
      <c r="F180" s="920">
        <v>1</v>
      </c>
      <c r="G180" s="924">
        <f t="shared" si="10"/>
        <v>65</v>
      </c>
      <c r="H180" s="606" t="s">
        <v>543</v>
      </c>
      <c r="I180" s="606"/>
      <c r="J180" s="606"/>
      <c r="K180" s="697" t="s">
        <v>544</v>
      </c>
      <c r="L180" s="738"/>
      <c r="M180" s="738"/>
      <c r="N180" s="738"/>
      <c r="O180" s="738"/>
      <c r="P180" s="697"/>
    </row>
    <row r="181" spans="1:16" hidden="1">
      <c r="A181" s="921"/>
      <c r="B181" s="925" t="s">
        <v>157</v>
      </c>
      <c r="C181" s="922"/>
      <c r="D181" s="923">
        <f>'[2]总投资-发采购-0411-GLP拆分场外费用(司调)'!G53</f>
        <v>1</v>
      </c>
      <c r="E181" s="928">
        <f t="shared" si="8"/>
        <v>0.14064697609001406</v>
      </c>
      <c r="F181" s="920">
        <v>1</v>
      </c>
      <c r="G181" s="924">
        <f t="shared" si="10"/>
        <v>1</v>
      </c>
      <c r="H181" s="606" t="s">
        <v>543</v>
      </c>
      <c r="I181" s="606"/>
      <c r="J181" s="606"/>
      <c r="K181" s="697" t="s">
        <v>544</v>
      </c>
      <c r="L181" s="738"/>
      <c r="M181" s="738"/>
      <c r="N181" s="738"/>
      <c r="O181" s="738"/>
      <c r="P181" s="697"/>
    </row>
    <row r="182" spans="1:16" hidden="1">
      <c r="A182" s="921"/>
      <c r="B182" s="925" t="s">
        <v>158</v>
      </c>
      <c r="C182" s="922"/>
      <c r="D182" s="923">
        <f>'[2]总投资-发采购-0411-GLP拆分场外费用(司调)'!G54</f>
        <v>11</v>
      </c>
      <c r="E182" s="928">
        <f t="shared" si="8"/>
        <v>1.5471167369901546</v>
      </c>
      <c r="F182" s="920">
        <v>1</v>
      </c>
      <c r="G182" s="924">
        <f t="shared" si="10"/>
        <v>11</v>
      </c>
      <c r="H182" s="606" t="s">
        <v>543</v>
      </c>
      <c r="I182" s="606"/>
      <c r="J182" s="606"/>
      <c r="K182" s="697" t="s">
        <v>544</v>
      </c>
      <c r="L182" s="738"/>
      <c r="M182" s="738"/>
      <c r="N182" s="738"/>
      <c r="O182" s="738"/>
      <c r="P182" s="697"/>
    </row>
    <row r="183" spans="1:16" hidden="1">
      <c r="A183" s="921"/>
      <c r="B183" s="925" t="s">
        <v>159</v>
      </c>
      <c r="C183" s="922"/>
      <c r="D183" s="923">
        <f>'[2]总投资-发采购-0411-GLP拆分场外费用(司调)'!G55</f>
        <v>53</v>
      </c>
      <c r="E183" s="928">
        <f t="shared" ref="E183:E210" si="11">D183/$A$3</f>
        <v>7.4542897327707447</v>
      </c>
      <c r="F183" s="920">
        <v>1</v>
      </c>
      <c r="G183" s="924">
        <f t="shared" si="10"/>
        <v>53</v>
      </c>
      <c r="H183" s="606" t="s">
        <v>543</v>
      </c>
      <c r="I183" s="606"/>
      <c r="J183" s="606"/>
      <c r="K183" s="697" t="s">
        <v>544</v>
      </c>
      <c r="L183" s="738"/>
      <c r="M183" s="738"/>
      <c r="N183" s="738"/>
      <c r="O183" s="738"/>
      <c r="P183" s="697"/>
    </row>
    <row r="184" spans="1:16" hidden="1">
      <c r="A184" s="921">
        <v>2.6</v>
      </c>
      <c r="B184" s="925" t="s">
        <v>315</v>
      </c>
      <c r="C184" s="922"/>
      <c r="D184" s="923">
        <f>'[2]总投资-发采购-0411-GLP拆分场外费用(司调)'!G56</f>
        <v>5747.9617310399199</v>
      </c>
      <c r="E184" s="928">
        <f t="shared" si="11"/>
        <v>808.43343615188746</v>
      </c>
      <c r="F184" s="920">
        <v>1</v>
      </c>
      <c r="G184" s="924">
        <f t="shared" si="10"/>
        <v>5747.9617310399199</v>
      </c>
      <c r="H184" s="606" t="s">
        <v>543</v>
      </c>
      <c r="I184" s="606"/>
      <c r="J184" s="606"/>
      <c r="K184" s="697" t="s">
        <v>544</v>
      </c>
      <c r="L184" s="738"/>
      <c r="M184" s="738"/>
      <c r="N184" s="738"/>
      <c r="O184" s="738"/>
      <c r="P184" s="697"/>
    </row>
    <row r="185" spans="1:16" hidden="1">
      <c r="A185" s="921" t="s">
        <v>316</v>
      </c>
      <c r="B185" s="925" t="s">
        <v>141</v>
      </c>
      <c r="C185" s="922"/>
      <c r="D185" s="923">
        <f>'[2]总投资-发采购-0411-GLP拆分场外费用(司调)'!G57</f>
        <v>3574</v>
      </c>
      <c r="E185" s="928">
        <f t="shared" si="11"/>
        <v>502.67229254571026</v>
      </c>
      <c r="F185" s="920">
        <v>1</v>
      </c>
      <c r="G185" s="924">
        <f t="shared" si="10"/>
        <v>3574</v>
      </c>
      <c r="H185" s="606" t="s">
        <v>543</v>
      </c>
      <c r="I185" s="606"/>
      <c r="J185" s="606"/>
      <c r="K185" s="697" t="s">
        <v>544</v>
      </c>
      <c r="L185" s="738"/>
      <c r="M185" s="738"/>
      <c r="N185" s="738"/>
      <c r="O185" s="738"/>
      <c r="P185" s="697"/>
    </row>
    <row r="186" spans="1:16" hidden="1">
      <c r="A186" s="921" t="s">
        <v>317</v>
      </c>
      <c r="B186" s="925" t="s">
        <v>143</v>
      </c>
      <c r="C186" s="922"/>
      <c r="D186" s="923">
        <f>'[2]总投资-发采购-0411-GLP拆分场外费用(司调)'!G58</f>
        <v>18.29888</v>
      </c>
      <c r="E186" s="928">
        <f t="shared" si="11"/>
        <v>2.5736821378340364</v>
      </c>
      <c r="F186" s="920">
        <v>1</v>
      </c>
      <c r="G186" s="924">
        <f t="shared" si="10"/>
        <v>18.29888</v>
      </c>
      <c r="H186" s="606" t="s">
        <v>543</v>
      </c>
      <c r="I186" s="606"/>
      <c r="J186" s="606"/>
      <c r="K186" s="697" t="s">
        <v>544</v>
      </c>
      <c r="L186" s="738"/>
      <c r="M186" s="738"/>
      <c r="N186" s="738"/>
      <c r="O186" s="738"/>
      <c r="P186" s="697"/>
    </row>
    <row r="187" spans="1:16" hidden="1">
      <c r="A187" s="921" t="s">
        <v>318</v>
      </c>
      <c r="B187" s="925" t="s">
        <v>145</v>
      </c>
      <c r="C187" s="922"/>
      <c r="D187" s="923">
        <f>'[2]总投资-发采购-0411-GLP拆分场外费用(司调)'!G59</f>
        <v>164.68992</v>
      </c>
      <c r="E187" s="928">
        <f t="shared" si="11"/>
        <v>23.163139240506329</v>
      </c>
      <c r="F187" s="920">
        <v>1</v>
      </c>
      <c r="G187" s="924">
        <f t="shared" si="10"/>
        <v>164.68992</v>
      </c>
      <c r="H187" s="606" t="s">
        <v>543</v>
      </c>
      <c r="I187" s="606"/>
      <c r="J187" s="606"/>
      <c r="K187" s="697" t="s">
        <v>544</v>
      </c>
      <c r="L187" s="738"/>
      <c r="M187" s="738"/>
      <c r="N187" s="738"/>
      <c r="O187" s="738"/>
      <c r="P187" s="697"/>
    </row>
    <row r="188" spans="1:16" hidden="1">
      <c r="A188" s="921" t="s">
        <v>319</v>
      </c>
      <c r="B188" s="925" t="s">
        <v>147</v>
      </c>
      <c r="C188" s="922"/>
      <c r="D188" s="923">
        <f>'[2]总投资-发采购-0411-GLP拆分场外费用(司调)'!G60</f>
        <v>128.09216000000001</v>
      </c>
      <c r="E188" s="928">
        <f t="shared" si="11"/>
        <v>18.015774964838258</v>
      </c>
      <c r="F188" s="920">
        <v>1</v>
      </c>
      <c r="G188" s="924">
        <f t="shared" si="10"/>
        <v>128.09216000000001</v>
      </c>
      <c r="H188" s="606" t="s">
        <v>543</v>
      </c>
      <c r="I188" s="606"/>
      <c r="J188" s="606"/>
      <c r="K188" s="697" t="s">
        <v>544</v>
      </c>
      <c r="L188" s="738"/>
      <c r="M188" s="738"/>
      <c r="N188" s="738"/>
      <c r="O188" s="738"/>
      <c r="P188" s="697"/>
    </row>
    <row r="189" spans="1:16" hidden="1">
      <c r="A189" s="921" t="s">
        <v>320</v>
      </c>
      <c r="B189" s="925" t="s">
        <v>149</v>
      </c>
      <c r="C189" s="922"/>
      <c r="D189" s="923">
        <f>'[2]总投资-发采购-0411-GLP拆分场外费用(司调)'!G61</f>
        <v>283.63263999999998</v>
      </c>
      <c r="E189" s="928">
        <f t="shared" si="11"/>
        <v>39.892073136427562</v>
      </c>
      <c r="F189" s="920">
        <v>1</v>
      </c>
      <c r="G189" s="924">
        <f t="shared" si="10"/>
        <v>283.63263999999998</v>
      </c>
      <c r="H189" s="606" t="s">
        <v>543</v>
      </c>
      <c r="I189" s="606"/>
      <c r="J189" s="606"/>
      <c r="K189" s="697" t="s">
        <v>544</v>
      </c>
      <c r="L189" s="738"/>
      <c r="M189" s="738"/>
      <c r="N189" s="738"/>
      <c r="O189" s="738"/>
      <c r="P189" s="697"/>
    </row>
    <row r="190" spans="1:16" hidden="1">
      <c r="A190" s="921" t="s">
        <v>321</v>
      </c>
      <c r="B190" s="925" t="s">
        <v>151</v>
      </c>
      <c r="C190" s="922"/>
      <c r="D190" s="923">
        <f>'[2]总投资-发采购-0411-GLP拆分场外费用(司调)'!G62</f>
        <v>78.158937277231303</v>
      </c>
      <c r="E190" s="928">
        <f t="shared" si="11"/>
        <v>10.992818182451659</v>
      </c>
      <c r="F190" s="920">
        <v>1</v>
      </c>
      <c r="G190" s="924">
        <f t="shared" si="10"/>
        <v>78.158937277231303</v>
      </c>
      <c r="H190" s="606" t="s">
        <v>543</v>
      </c>
      <c r="I190" s="606"/>
      <c r="J190" s="606"/>
      <c r="K190" s="697" t="s">
        <v>544</v>
      </c>
      <c r="L190" s="738"/>
      <c r="M190" s="738"/>
      <c r="N190" s="738"/>
      <c r="O190" s="738"/>
      <c r="P190" s="697"/>
    </row>
    <row r="191" spans="1:16" hidden="1">
      <c r="A191" s="921" t="s">
        <v>322</v>
      </c>
      <c r="B191" s="925" t="s">
        <v>153</v>
      </c>
      <c r="C191" s="922"/>
      <c r="D191" s="923">
        <f>'[2]总投资-发采购-0411-GLP拆分场外费用(司调)'!G63</f>
        <v>571.84</v>
      </c>
      <c r="E191" s="928">
        <f t="shared" si="11"/>
        <v>80.427566807313639</v>
      </c>
      <c r="F191" s="920">
        <v>1</v>
      </c>
      <c r="G191" s="924">
        <f t="shared" si="10"/>
        <v>571.84</v>
      </c>
      <c r="H191" s="606" t="s">
        <v>543</v>
      </c>
      <c r="I191" s="606"/>
      <c r="J191" s="606"/>
      <c r="K191" s="697" t="s">
        <v>544</v>
      </c>
      <c r="L191" s="738"/>
      <c r="M191" s="738"/>
      <c r="N191" s="738"/>
      <c r="O191" s="738"/>
      <c r="P191" s="697"/>
    </row>
    <row r="192" spans="1:16" hidden="1">
      <c r="A192" s="921"/>
      <c r="B192" s="925" t="s">
        <v>155</v>
      </c>
      <c r="C192" s="922"/>
      <c r="D192" s="923">
        <f>'[2]总投资-发采购-0411-GLP拆分场外费用(司调)'!G64</f>
        <v>864.24919376268497</v>
      </c>
      <c r="E192" s="928">
        <f t="shared" si="11"/>
        <v>121.55403569095428</v>
      </c>
      <c r="F192" s="920">
        <v>1</v>
      </c>
      <c r="G192" s="924">
        <f t="shared" si="10"/>
        <v>864.24919376268497</v>
      </c>
      <c r="H192" s="606" t="s">
        <v>543</v>
      </c>
      <c r="I192" s="606"/>
      <c r="J192" s="606"/>
      <c r="K192" s="697" t="s">
        <v>544</v>
      </c>
      <c r="L192" s="738"/>
      <c r="M192" s="738"/>
      <c r="N192" s="738"/>
      <c r="O192" s="738"/>
      <c r="P192" s="697"/>
    </row>
    <row r="193" spans="1:16" hidden="1">
      <c r="A193" s="921" t="s">
        <v>323</v>
      </c>
      <c r="B193" s="925" t="s">
        <v>156</v>
      </c>
      <c r="C193" s="922"/>
      <c r="D193" s="923">
        <f>'[2]总投资-发采购-0411-GLP拆分场外费用(司调)'!G65</f>
        <v>65</v>
      </c>
      <c r="E193" s="928">
        <f t="shared" si="11"/>
        <v>9.1420534458509142</v>
      </c>
      <c r="F193" s="920">
        <v>1</v>
      </c>
      <c r="G193" s="924">
        <f t="shared" si="10"/>
        <v>65</v>
      </c>
      <c r="H193" s="606" t="s">
        <v>543</v>
      </c>
      <c r="I193" s="606"/>
      <c r="J193" s="606"/>
      <c r="K193" s="697" t="s">
        <v>544</v>
      </c>
      <c r="L193" s="738"/>
      <c r="M193" s="738"/>
      <c r="N193" s="738"/>
      <c r="O193" s="738"/>
      <c r="P193" s="697"/>
    </row>
    <row r="194" spans="1:16" hidden="1">
      <c r="A194" s="921"/>
      <c r="B194" s="925" t="s">
        <v>157</v>
      </c>
      <c r="C194" s="922"/>
      <c r="D194" s="923">
        <f>'[2]总投资-发采购-0411-GLP拆分场外费用(司调)'!G66</f>
        <v>1</v>
      </c>
      <c r="E194" s="928">
        <f t="shared" si="11"/>
        <v>0.14064697609001406</v>
      </c>
      <c r="F194" s="920">
        <v>1</v>
      </c>
      <c r="G194" s="924">
        <f t="shared" si="10"/>
        <v>1</v>
      </c>
      <c r="H194" s="606" t="s">
        <v>543</v>
      </c>
      <c r="I194" s="606"/>
      <c r="J194" s="606"/>
      <c r="K194" s="697" t="s">
        <v>544</v>
      </c>
      <c r="L194" s="738"/>
      <c r="M194" s="738"/>
      <c r="N194" s="738"/>
      <c r="O194" s="738"/>
      <c r="P194" s="697"/>
    </row>
    <row r="195" spans="1:16" hidden="1">
      <c r="A195" s="921"/>
      <c r="B195" s="925" t="s">
        <v>158</v>
      </c>
      <c r="C195" s="922"/>
      <c r="D195" s="923">
        <f>'[2]总投资-发采购-0411-GLP拆分场外费用(司调)'!G67</f>
        <v>11</v>
      </c>
      <c r="E195" s="928">
        <f t="shared" si="11"/>
        <v>1.5471167369901546</v>
      </c>
      <c r="F195" s="920">
        <v>1</v>
      </c>
      <c r="G195" s="924">
        <f t="shared" si="10"/>
        <v>11</v>
      </c>
      <c r="H195" s="606" t="s">
        <v>543</v>
      </c>
      <c r="I195" s="606"/>
      <c r="J195" s="606"/>
      <c r="K195" s="697" t="s">
        <v>544</v>
      </c>
      <c r="L195" s="738"/>
      <c r="M195" s="738"/>
      <c r="N195" s="738"/>
      <c r="O195" s="738"/>
      <c r="P195" s="697"/>
    </row>
    <row r="196" spans="1:16" hidden="1">
      <c r="A196" s="921"/>
      <c r="B196" s="925" t="s">
        <v>159</v>
      </c>
      <c r="C196" s="922"/>
      <c r="D196" s="923">
        <f>'[2]总投资-发采购-0411-GLP拆分场外费用(司调)'!G68</f>
        <v>53</v>
      </c>
      <c r="E196" s="928">
        <f t="shared" si="11"/>
        <v>7.4542897327707447</v>
      </c>
      <c r="F196" s="920">
        <v>1</v>
      </c>
      <c r="G196" s="924">
        <f t="shared" si="10"/>
        <v>53</v>
      </c>
      <c r="H196" s="606" t="s">
        <v>543</v>
      </c>
      <c r="I196" s="606"/>
      <c r="J196" s="606"/>
      <c r="K196" s="697" t="s">
        <v>544</v>
      </c>
      <c r="L196" s="738"/>
      <c r="M196" s="738"/>
      <c r="N196" s="738"/>
      <c r="O196" s="738"/>
      <c r="P196" s="697"/>
    </row>
    <row r="197" spans="1:16" hidden="1">
      <c r="A197" s="921">
        <v>2.7</v>
      </c>
      <c r="B197" s="925" t="s">
        <v>324</v>
      </c>
      <c r="C197" s="922"/>
      <c r="D197" s="923">
        <f>'[2]总投资-发采购-0411-GLP拆分场外费用(司调)'!G69</f>
        <v>5776.8425281711698</v>
      </c>
      <c r="E197" s="928">
        <f t="shared" si="11"/>
        <v>812.49543293546685</v>
      </c>
      <c r="F197" s="920">
        <v>1</v>
      </c>
      <c r="G197" s="924">
        <f t="shared" si="10"/>
        <v>5776.8425281711698</v>
      </c>
      <c r="H197" s="606" t="s">
        <v>543</v>
      </c>
      <c r="I197" s="606"/>
      <c r="J197" s="606"/>
      <c r="K197" s="697" t="s">
        <v>544</v>
      </c>
      <c r="L197" s="738"/>
      <c r="M197" s="738"/>
      <c r="N197" s="738"/>
      <c r="O197" s="738"/>
      <c r="P197" s="697"/>
    </row>
    <row r="198" spans="1:16" hidden="1">
      <c r="A198" s="921" t="s">
        <v>325</v>
      </c>
      <c r="B198" s="925" t="s">
        <v>141</v>
      </c>
      <c r="C198" s="922"/>
      <c r="D198" s="923">
        <f>'[2]总投资-发采购-0411-GLP拆分场外费用(司调)'!G70</f>
        <v>3574</v>
      </c>
      <c r="E198" s="928">
        <f t="shared" si="11"/>
        <v>502.67229254571026</v>
      </c>
      <c r="F198" s="920">
        <v>1</v>
      </c>
      <c r="G198" s="924">
        <f t="shared" si="10"/>
        <v>3574</v>
      </c>
      <c r="H198" s="606" t="s">
        <v>543</v>
      </c>
      <c r="I198" s="606"/>
      <c r="J198" s="606"/>
      <c r="K198" s="697" t="s">
        <v>544</v>
      </c>
      <c r="L198" s="738"/>
      <c r="M198" s="738"/>
      <c r="N198" s="738"/>
      <c r="O198" s="738"/>
      <c r="P198" s="697"/>
    </row>
    <row r="199" spans="1:16" hidden="1">
      <c r="A199" s="921" t="s">
        <v>326</v>
      </c>
      <c r="B199" s="925" t="s">
        <v>143</v>
      </c>
      <c r="C199" s="922"/>
      <c r="D199" s="923">
        <f>'[2]总投资-发采购-0411-GLP拆分场外费用(司调)'!G71</f>
        <v>18.29888</v>
      </c>
      <c r="E199" s="928">
        <f t="shared" si="11"/>
        <v>2.5736821378340364</v>
      </c>
      <c r="F199" s="920">
        <v>1</v>
      </c>
      <c r="G199" s="924">
        <f t="shared" si="10"/>
        <v>18.29888</v>
      </c>
      <c r="H199" s="606" t="s">
        <v>543</v>
      </c>
      <c r="I199" s="606"/>
      <c r="J199" s="606"/>
      <c r="K199" s="697" t="s">
        <v>544</v>
      </c>
      <c r="L199" s="738"/>
      <c r="M199" s="738"/>
      <c r="N199" s="738"/>
      <c r="O199" s="738"/>
      <c r="P199" s="697"/>
    </row>
    <row r="200" spans="1:16" hidden="1">
      <c r="A200" s="921" t="s">
        <v>327</v>
      </c>
      <c r="B200" s="925" t="s">
        <v>145</v>
      </c>
      <c r="C200" s="922"/>
      <c r="D200" s="923">
        <f>'[2]总投资-发采购-0411-GLP拆分场外费用(司调)'!G72</f>
        <v>164.68992</v>
      </c>
      <c r="E200" s="928">
        <f t="shared" si="11"/>
        <v>23.163139240506329</v>
      </c>
      <c r="F200" s="920">
        <v>1</v>
      </c>
      <c r="G200" s="924">
        <f t="shared" si="10"/>
        <v>164.68992</v>
      </c>
      <c r="H200" s="606" t="s">
        <v>543</v>
      </c>
      <c r="I200" s="606"/>
      <c r="J200" s="606"/>
      <c r="K200" s="697" t="s">
        <v>544</v>
      </c>
      <c r="L200" s="738"/>
      <c r="M200" s="738"/>
      <c r="N200" s="738"/>
      <c r="O200" s="738"/>
      <c r="P200" s="697"/>
    </row>
    <row r="201" spans="1:16" hidden="1">
      <c r="A201" s="921" t="s">
        <v>328</v>
      </c>
      <c r="B201" s="925" t="s">
        <v>147</v>
      </c>
      <c r="C201" s="922"/>
      <c r="D201" s="923">
        <f>'[2]总投资-发采购-0411-GLP拆分场外费用(司调)'!G73</f>
        <v>128.09216000000001</v>
      </c>
      <c r="E201" s="928">
        <f t="shared" si="11"/>
        <v>18.015774964838258</v>
      </c>
      <c r="F201" s="920">
        <v>1</v>
      </c>
      <c r="G201" s="924">
        <f t="shared" si="10"/>
        <v>128.09216000000001</v>
      </c>
      <c r="H201" s="606" t="s">
        <v>543</v>
      </c>
      <c r="I201" s="606"/>
      <c r="J201" s="606"/>
      <c r="K201" s="697" t="s">
        <v>544</v>
      </c>
      <c r="L201" s="738"/>
      <c r="M201" s="738"/>
      <c r="N201" s="738"/>
      <c r="O201" s="738"/>
      <c r="P201" s="697"/>
    </row>
    <row r="202" spans="1:16" hidden="1">
      <c r="A202" s="921" t="s">
        <v>329</v>
      </c>
      <c r="B202" s="925" t="s">
        <v>149</v>
      </c>
      <c r="C202" s="922"/>
      <c r="D202" s="923">
        <f>'[2]总投资-发采购-0411-GLP拆分场外费用(司调)'!G74</f>
        <v>283.63263999999998</v>
      </c>
      <c r="E202" s="928">
        <f t="shared" si="11"/>
        <v>39.892073136427562</v>
      </c>
      <c r="F202" s="920">
        <v>1</v>
      </c>
      <c r="G202" s="924">
        <f t="shared" si="10"/>
        <v>283.63263999999998</v>
      </c>
      <c r="H202" s="606" t="s">
        <v>543</v>
      </c>
      <c r="I202" s="606"/>
      <c r="J202" s="606"/>
      <c r="K202" s="697" t="s">
        <v>544</v>
      </c>
      <c r="L202" s="738"/>
      <c r="M202" s="738"/>
      <c r="N202" s="738"/>
      <c r="O202" s="738"/>
      <c r="P202" s="697"/>
    </row>
    <row r="203" spans="1:16" hidden="1">
      <c r="A203" s="921" t="s">
        <v>330</v>
      </c>
      <c r="B203" s="925" t="s">
        <v>151</v>
      </c>
      <c r="C203" s="922"/>
      <c r="D203" s="923">
        <f>'[2]总投资-发采购-0411-GLP拆分场外费用(司调)'!G75</f>
        <v>78.158937277231303</v>
      </c>
      <c r="E203" s="928">
        <f t="shared" si="11"/>
        <v>10.992818182451659</v>
      </c>
      <c r="F203" s="920">
        <v>1</v>
      </c>
      <c r="G203" s="924">
        <f t="shared" si="10"/>
        <v>78.158937277231303</v>
      </c>
      <c r="H203" s="606" t="s">
        <v>543</v>
      </c>
      <c r="I203" s="606"/>
      <c r="J203" s="606"/>
      <c r="K203" s="697" t="s">
        <v>544</v>
      </c>
      <c r="L203" s="738"/>
      <c r="M203" s="738"/>
      <c r="N203" s="738"/>
      <c r="O203" s="738"/>
      <c r="P203" s="697"/>
    </row>
    <row r="204" spans="1:16" hidden="1">
      <c r="A204" s="921" t="s">
        <v>331</v>
      </c>
      <c r="B204" s="925" t="s">
        <v>153</v>
      </c>
      <c r="C204" s="922"/>
      <c r="D204" s="923">
        <f>'[2]总投资-发采购-0411-GLP拆分场外费用(司调)'!G76</f>
        <v>571.84</v>
      </c>
      <c r="E204" s="928">
        <f t="shared" si="11"/>
        <v>80.427566807313639</v>
      </c>
      <c r="F204" s="920">
        <v>1</v>
      </c>
      <c r="G204" s="924">
        <f t="shared" si="10"/>
        <v>571.84</v>
      </c>
      <c r="H204" s="606" t="s">
        <v>543</v>
      </c>
      <c r="I204" s="606"/>
      <c r="J204" s="606"/>
      <c r="K204" s="697" t="s">
        <v>544</v>
      </c>
      <c r="L204" s="738"/>
      <c r="M204" s="738"/>
      <c r="N204" s="738"/>
      <c r="O204" s="738"/>
      <c r="P204" s="697"/>
    </row>
    <row r="205" spans="1:16" hidden="1">
      <c r="A205" s="921"/>
      <c r="B205" s="925" t="s">
        <v>155</v>
      </c>
      <c r="C205" s="922"/>
      <c r="D205" s="923">
        <f>'[2]总投资-发采购-0411-GLP拆分场外费用(司调)'!G77</f>
        <v>893.12999089393804</v>
      </c>
      <c r="E205" s="928">
        <f t="shared" si="11"/>
        <v>125.61603247453418</v>
      </c>
      <c r="F205" s="920">
        <v>1</v>
      </c>
      <c r="G205" s="924">
        <f t="shared" si="10"/>
        <v>893.12999089393804</v>
      </c>
      <c r="H205" s="606" t="s">
        <v>543</v>
      </c>
      <c r="I205" s="606"/>
      <c r="J205" s="606"/>
      <c r="K205" s="697" t="s">
        <v>544</v>
      </c>
      <c r="L205" s="738"/>
      <c r="M205" s="738"/>
      <c r="N205" s="738"/>
      <c r="O205" s="738"/>
      <c r="P205" s="697"/>
    </row>
    <row r="206" spans="1:16" hidden="1">
      <c r="A206" s="921" t="s">
        <v>332</v>
      </c>
      <c r="B206" s="925" t="s">
        <v>156</v>
      </c>
      <c r="C206" s="922"/>
      <c r="D206" s="923">
        <f>'[2]总投资-发采购-0411-GLP拆分场外费用(司调)'!G78</f>
        <v>65</v>
      </c>
      <c r="E206" s="928">
        <f t="shared" si="11"/>
        <v>9.1420534458509142</v>
      </c>
      <c r="F206" s="920">
        <v>1</v>
      </c>
      <c r="G206" s="924">
        <f t="shared" si="10"/>
        <v>65</v>
      </c>
      <c r="H206" s="606" t="s">
        <v>543</v>
      </c>
      <c r="I206" s="606"/>
      <c r="J206" s="606"/>
      <c r="K206" s="697" t="s">
        <v>544</v>
      </c>
      <c r="L206" s="738"/>
      <c r="M206" s="738"/>
      <c r="N206" s="738"/>
      <c r="O206" s="738"/>
      <c r="P206" s="697"/>
    </row>
    <row r="207" spans="1:16" hidden="1">
      <c r="A207" s="921"/>
      <c r="B207" s="925" t="s">
        <v>157</v>
      </c>
      <c r="C207" s="922"/>
      <c r="D207" s="923">
        <f>'[2]总投资-发采购-0411-GLP拆分场外费用(司调)'!G79</f>
        <v>1</v>
      </c>
      <c r="E207" s="928">
        <f t="shared" si="11"/>
        <v>0.14064697609001406</v>
      </c>
      <c r="F207" s="920">
        <v>1</v>
      </c>
      <c r="G207" s="924">
        <f t="shared" si="10"/>
        <v>1</v>
      </c>
      <c r="H207" s="606" t="s">
        <v>543</v>
      </c>
      <c r="I207" s="606"/>
      <c r="J207" s="606"/>
      <c r="K207" s="697" t="s">
        <v>544</v>
      </c>
      <c r="L207" s="738"/>
      <c r="M207" s="738"/>
      <c r="N207" s="738"/>
      <c r="O207" s="738"/>
      <c r="P207" s="697"/>
    </row>
    <row r="208" spans="1:16" hidden="1">
      <c r="A208" s="921"/>
      <c r="B208" s="925" t="s">
        <v>158</v>
      </c>
      <c r="C208" s="922"/>
      <c r="D208" s="923">
        <f>'[2]总投资-发采购-0411-GLP拆分场外费用(司调)'!G80</f>
        <v>11</v>
      </c>
      <c r="E208" s="928">
        <f t="shared" si="11"/>
        <v>1.5471167369901546</v>
      </c>
      <c r="F208" s="920">
        <v>1</v>
      </c>
      <c r="G208" s="924">
        <f t="shared" si="10"/>
        <v>11</v>
      </c>
      <c r="H208" s="606" t="s">
        <v>543</v>
      </c>
      <c r="I208" s="606"/>
      <c r="J208" s="606"/>
      <c r="K208" s="697" t="s">
        <v>544</v>
      </c>
      <c r="L208" s="738"/>
      <c r="M208" s="738"/>
      <c r="N208" s="738"/>
      <c r="O208" s="738"/>
      <c r="P208" s="697"/>
    </row>
    <row r="209" spans="1:16" hidden="1">
      <c r="A209" s="921"/>
      <c r="B209" s="925" t="s">
        <v>159</v>
      </c>
      <c r="C209" s="922"/>
      <c r="D209" s="923">
        <f>'[2]总投资-发采购-0411-GLP拆分场外费用(司调)'!G81</f>
        <v>53</v>
      </c>
      <c r="E209" s="928">
        <f t="shared" si="11"/>
        <v>7.4542897327707447</v>
      </c>
      <c r="F209" s="920">
        <v>1</v>
      </c>
      <c r="G209" s="924">
        <f t="shared" si="10"/>
        <v>53</v>
      </c>
      <c r="H209" s="606" t="s">
        <v>543</v>
      </c>
      <c r="I209" s="606"/>
      <c r="J209" s="606"/>
      <c r="K209" s="697" t="s">
        <v>544</v>
      </c>
      <c r="L209" s="738"/>
      <c r="M209" s="738"/>
      <c r="N209" s="738"/>
      <c r="O209" s="738"/>
      <c r="P209" s="697"/>
    </row>
    <row r="210" spans="1:16">
      <c r="A210" s="606" t="s">
        <v>44</v>
      </c>
      <c r="B210" s="709" t="s">
        <v>548</v>
      </c>
      <c r="C210" s="709" t="s">
        <v>640</v>
      </c>
      <c r="D210" s="710">
        <f>SUM('[2]总投资-发采购-0411-GLP拆分场外费用(司调)'!G205,'[2]总投资-发采购-0411-GLP拆分场外费用(司调)'!G208,'[2]总投资-发采购-0411-GLP拆分场外费用(司调)'!G211,'[2]总投资-发采购-0411-GLP拆分场外费用(司调)'!G214,'[2]总投资-发采购-0411-GLP拆分场外费用(司调)'!G218)</f>
        <v>3292.1051520000001</v>
      </c>
      <c r="E210" s="711">
        <f t="shared" si="11"/>
        <v>463.02463459915612</v>
      </c>
      <c r="F210" s="920">
        <v>1</v>
      </c>
      <c r="G210" s="712">
        <f t="shared" si="10"/>
        <v>3292.1051520000001</v>
      </c>
      <c r="H210" s="606" t="s">
        <v>543</v>
      </c>
      <c r="I210" s="606" t="s">
        <v>30</v>
      </c>
      <c r="J210" s="606">
        <v>12</v>
      </c>
      <c r="K210" s="697" t="s">
        <v>544</v>
      </c>
      <c r="L210" s="738" t="s">
        <v>337</v>
      </c>
      <c r="M210" s="738" t="s">
        <v>338</v>
      </c>
      <c r="N210" s="738" t="s">
        <v>181</v>
      </c>
      <c r="O210" s="738" t="s">
        <v>137</v>
      </c>
      <c r="P210" s="697"/>
    </row>
    <row r="211" spans="1:16" hidden="1">
      <c r="A211" s="1075" t="s">
        <v>104</v>
      </c>
      <c r="B211" s="1076"/>
      <c r="C211" s="1077"/>
      <c r="D211" s="713">
        <f>SUM(D7,D30,D44,D74,D117,D157,D210)</f>
        <v>174384.82564401845</v>
      </c>
      <c r="E211" s="713">
        <f>SUM(E7)</f>
        <v>967.19455955304363</v>
      </c>
      <c r="F211" s="932">
        <v>1</v>
      </c>
      <c r="G211" s="713">
        <f t="shared" si="10"/>
        <v>174384.82564401845</v>
      </c>
      <c r="H211" s="606"/>
      <c r="I211" s="606"/>
      <c r="J211" s="606"/>
      <c r="K211" s="606"/>
      <c r="L211" s="738"/>
      <c r="M211" s="738"/>
      <c r="N211" s="738"/>
      <c r="O211" s="738"/>
      <c r="P211" s="606"/>
    </row>
    <row r="212" spans="1:16">
      <c r="A212" s="917" t="s">
        <v>48</v>
      </c>
      <c r="B212" s="1079" t="s">
        <v>49</v>
      </c>
      <c r="C212" s="1079"/>
      <c r="D212" s="1079"/>
      <c r="E212" s="1079"/>
      <c r="F212" s="1079"/>
      <c r="G212" s="1079"/>
      <c r="H212" s="1079"/>
      <c r="I212" s="1079"/>
      <c r="J212" s="1079"/>
      <c r="K212" s="1079"/>
      <c r="L212" s="1079"/>
      <c r="M212" s="1079"/>
      <c r="N212" s="1079"/>
      <c r="O212" s="1079"/>
      <c r="P212" s="1080"/>
    </row>
    <row r="213" spans="1:16">
      <c r="A213" s="606" t="s">
        <v>50</v>
      </c>
      <c r="B213" s="933" t="s">
        <v>49</v>
      </c>
      <c r="C213" s="933" t="s">
        <v>641</v>
      </c>
      <c r="D213" s="710">
        <f>SUM('[2]总投资-发采购-0411-GLP拆分场外费用(司调)'!G236,'[2]总投资-发采购-0411-GLP拆分场外费用(司调)'!G223)</f>
        <v>28051.084587734578</v>
      </c>
      <c r="E213" s="712">
        <f>D213/$A$3</f>
        <v>3945.3002233100669</v>
      </c>
      <c r="F213" s="920">
        <v>1</v>
      </c>
      <c r="G213" s="712">
        <f t="shared" ref="G213:G241" si="12">D213</f>
        <v>28051.084587734578</v>
      </c>
      <c r="H213" s="606" t="s">
        <v>543</v>
      </c>
      <c r="I213" s="606" t="s">
        <v>30</v>
      </c>
      <c r="J213" s="606">
        <v>18</v>
      </c>
      <c r="K213" s="697" t="s">
        <v>31</v>
      </c>
      <c r="L213" s="606">
        <v>2025.3</v>
      </c>
      <c r="M213" s="606">
        <v>2025.4</v>
      </c>
      <c r="N213" s="738" t="s">
        <v>181</v>
      </c>
      <c r="O213" s="738" t="s">
        <v>137</v>
      </c>
      <c r="P213" s="709"/>
    </row>
    <row r="214" spans="1:16" hidden="1">
      <c r="A214" s="934">
        <v>3.2</v>
      </c>
      <c r="B214" s="934" t="s">
        <v>344</v>
      </c>
      <c r="C214" s="935"/>
      <c r="D214" s="936">
        <f>'[2]总投资-发采购-0411-GLP拆分场外费用(司调)'!G236</f>
        <v>8098.2373475978802</v>
      </c>
      <c r="E214" s="937">
        <f>D214/$A$3</f>
        <v>1138.992594598858</v>
      </c>
      <c r="F214" s="920">
        <v>1</v>
      </c>
      <c r="G214" s="937">
        <f t="shared" si="12"/>
        <v>8098.2373475978802</v>
      </c>
      <c r="H214" s="606"/>
      <c r="I214" s="606"/>
      <c r="J214" s="606"/>
      <c r="K214" s="697"/>
      <c r="L214" s="606"/>
      <c r="M214" s="606"/>
      <c r="N214" s="738"/>
      <c r="O214" s="738"/>
      <c r="P214" s="709"/>
    </row>
    <row r="215" spans="1:16" hidden="1">
      <c r="A215" s="938" t="s">
        <v>345</v>
      </c>
      <c r="B215" s="938" t="s">
        <v>141</v>
      </c>
      <c r="C215" s="939"/>
      <c r="D215" s="923">
        <f>'[2]总投资-发采购-0411-GLP拆分场外费用(司调)'!G237</f>
        <v>4284.5</v>
      </c>
      <c r="E215" s="924">
        <f t="shared" ref="E215:E241" si="13">D215/$A$3</f>
        <v>602.6019690576652</v>
      </c>
      <c r="F215" s="920">
        <v>1</v>
      </c>
      <c r="G215" s="924">
        <f t="shared" si="12"/>
        <v>4284.5</v>
      </c>
      <c r="H215" s="606"/>
      <c r="I215" s="606"/>
      <c r="J215" s="606"/>
      <c r="K215" s="697"/>
      <c r="L215" s="606"/>
      <c r="M215" s="606"/>
      <c r="N215" s="738"/>
      <c r="O215" s="738"/>
      <c r="P215" s="709"/>
    </row>
    <row r="216" spans="1:16" hidden="1">
      <c r="A216" s="938" t="s">
        <v>346</v>
      </c>
      <c r="B216" s="938" t="s">
        <v>143</v>
      </c>
      <c r="C216" s="939"/>
      <c r="D216" s="923">
        <f>'[2]总投资-发采购-0411-GLP拆分场外费用(司调)'!G238</f>
        <v>26.125</v>
      </c>
      <c r="E216" s="924">
        <f t="shared" si="13"/>
        <v>3.6744022503516174</v>
      </c>
      <c r="F216" s="920">
        <v>1</v>
      </c>
      <c r="G216" s="924">
        <f t="shared" si="12"/>
        <v>26.125</v>
      </c>
      <c r="H216" s="606"/>
      <c r="I216" s="606"/>
      <c r="J216" s="606"/>
      <c r="K216" s="697"/>
      <c r="L216" s="606"/>
      <c r="M216" s="606"/>
      <c r="N216" s="738"/>
      <c r="O216" s="738"/>
      <c r="P216" s="709"/>
    </row>
    <row r="217" spans="1:16" hidden="1">
      <c r="A217" s="938" t="s">
        <v>347</v>
      </c>
      <c r="B217" s="938" t="s">
        <v>145</v>
      </c>
      <c r="C217" s="939"/>
      <c r="D217" s="923">
        <f>'[2]总投资-发采购-0411-GLP拆分场外费用(司调)'!G239</f>
        <v>151.52500000000001</v>
      </c>
      <c r="E217" s="924">
        <f t="shared" si="13"/>
        <v>21.31153305203938</v>
      </c>
      <c r="F217" s="920">
        <v>1</v>
      </c>
      <c r="G217" s="924">
        <f t="shared" si="12"/>
        <v>151.52500000000001</v>
      </c>
      <c r="H217" s="606"/>
      <c r="I217" s="606"/>
      <c r="J217" s="606"/>
      <c r="K217" s="697"/>
      <c r="L217" s="606"/>
      <c r="M217" s="606"/>
      <c r="N217" s="738"/>
      <c r="O217" s="738"/>
      <c r="P217" s="709"/>
    </row>
    <row r="218" spans="1:16" hidden="1">
      <c r="A218" s="938" t="s">
        <v>348</v>
      </c>
      <c r="B218" s="938" t="s">
        <v>147</v>
      </c>
      <c r="C218" s="939"/>
      <c r="D218" s="923">
        <f>'[2]总投资-发采购-0411-GLP拆分场外费用(司调)'!G240</f>
        <v>120.175</v>
      </c>
      <c r="E218" s="924">
        <f t="shared" si="13"/>
        <v>16.90225035161744</v>
      </c>
      <c r="F218" s="920">
        <v>1</v>
      </c>
      <c r="G218" s="924">
        <f t="shared" si="12"/>
        <v>120.175</v>
      </c>
      <c r="H218" s="606"/>
      <c r="I218" s="606"/>
      <c r="J218" s="606"/>
      <c r="K218" s="697"/>
      <c r="L218" s="606"/>
      <c r="M218" s="606"/>
      <c r="N218" s="738"/>
      <c r="O218" s="738"/>
      <c r="P218" s="709"/>
    </row>
    <row r="219" spans="1:16" hidden="1">
      <c r="A219" s="938" t="s">
        <v>349</v>
      </c>
      <c r="B219" s="938" t="s">
        <v>149</v>
      </c>
      <c r="C219" s="939"/>
      <c r="D219" s="923">
        <f>'[2]总投资-发采购-0411-GLP拆分场外费用(司调)'!G241</f>
        <v>146.30000000000001</v>
      </c>
      <c r="E219" s="924">
        <f t="shared" si="13"/>
        <v>20.576652601969059</v>
      </c>
      <c r="F219" s="920">
        <v>1</v>
      </c>
      <c r="G219" s="924">
        <f t="shared" si="12"/>
        <v>146.30000000000001</v>
      </c>
      <c r="H219" s="606"/>
      <c r="I219" s="606"/>
      <c r="J219" s="606"/>
      <c r="K219" s="697"/>
      <c r="L219" s="606"/>
      <c r="M219" s="606"/>
      <c r="N219" s="738"/>
      <c r="O219" s="738"/>
      <c r="P219" s="709"/>
    </row>
    <row r="220" spans="1:16" hidden="1">
      <c r="A220" s="938" t="s">
        <v>350</v>
      </c>
      <c r="B220" s="938" t="s">
        <v>151</v>
      </c>
      <c r="C220" s="939"/>
      <c r="D220" s="923">
        <f>'[2]总投资-发采购-0411-GLP拆分场外费用(司调)'!G242</f>
        <v>41.8</v>
      </c>
      <c r="E220" s="924">
        <f t="shared" si="13"/>
        <v>5.8790436005625875</v>
      </c>
      <c r="F220" s="920">
        <v>1</v>
      </c>
      <c r="G220" s="924">
        <f t="shared" si="12"/>
        <v>41.8</v>
      </c>
      <c r="H220" s="606"/>
      <c r="I220" s="606"/>
      <c r="J220" s="606"/>
      <c r="K220" s="697"/>
      <c r="L220" s="606"/>
      <c r="M220" s="606"/>
      <c r="N220" s="738"/>
      <c r="O220" s="738"/>
      <c r="P220" s="709"/>
    </row>
    <row r="221" spans="1:16" hidden="1">
      <c r="A221" s="938" t="s">
        <v>351</v>
      </c>
      <c r="B221" s="938" t="s">
        <v>153</v>
      </c>
      <c r="C221" s="939"/>
      <c r="D221" s="923">
        <f>'[2]总投资-发采购-0411-GLP拆分场外费用(司调)'!G243</f>
        <v>209</v>
      </c>
      <c r="E221" s="924">
        <f t="shared" si="13"/>
        <v>29.395218002812939</v>
      </c>
      <c r="F221" s="920">
        <v>1</v>
      </c>
      <c r="G221" s="924">
        <f t="shared" si="12"/>
        <v>209</v>
      </c>
      <c r="H221" s="606"/>
      <c r="I221" s="606"/>
      <c r="J221" s="606"/>
      <c r="K221" s="697"/>
      <c r="L221" s="606"/>
      <c r="M221" s="606"/>
      <c r="N221" s="738"/>
      <c r="O221" s="738"/>
      <c r="P221" s="709"/>
    </row>
    <row r="222" spans="1:16" hidden="1">
      <c r="A222" s="938"/>
      <c r="B222" s="938" t="s">
        <v>155</v>
      </c>
      <c r="C222" s="939"/>
      <c r="D222" s="923">
        <f>'[2]总投资-发采购-0411-GLP拆分场外费用(司调)'!G244</f>
        <v>2754.81234759788</v>
      </c>
      <c r="E222" s="924">
        <f t="shared" si="13"/>
        <v>387.45602638507455</v>
      </c>
      <c r="F222" s="920">
        <v>1</v>
      </c>
      <c r="G222" s="924">
        <f t="shared" si="12"/>
        <v>2754.81234759788</v>
      </c>
      <c r="H222" s="606"/>
      <c r="I222" s="606"/>
      <c r="J222" s="606"/>
      <c r="K222" s="697"/>
      <c r="L222" s="606"/>
      <c r="M222" s="606"/>
      <c r="N222" s="738"/>
      <c r="O222" s="738"/>
      <c r="P222" s="709"/>
    </row>
    <row r="223" spans="1:16" hidden="1">
      <c r="A223" s="938" t="s">
        <v>352</v>
      </c>
      <c r="B223" s="938" t="s">
        <v>156</v>
      </c>
      <c r="C223" s="939"/>
      <c r="D223" s="923">
        <f>'[2]总投资-发采购-0411-GLP拆分场外费用(司调)'!G245</f>
        <v>364</v>
      </c>
      <c r="E223" s="924">
        <f t="shared" si="13"/>
        <v>51.195499296765121</v>
      </c>
      <c r="F223" s="920">
        <v>1</v>
      </c>
      <c r="G223" s="924">
        <f t="shared" si="12"/>
        <v>364</v>
      </c>
      <c r="H223" s="606"/>
      <c r="I223" s="606"/>
      <c r="J223" s="606"/>
      <c r="K223" s="697"/>
      <c r="L223" s="606"/>
      <c r="M223" s="606"/>
      <c r="N223" s="738"/>
      <c r="O223" s="738"/>
      <c r="P223" s="709"/>
    </row>
    <row r="224" spans="1:16" hidden="1">
      <c r="A224" s="938"/>
      <c r="B224" s="938" t="s">
        <v>353</v>
      </c>
      <c r="C224" s="939"/>
      <c r="D224" s="923">
        <f>'[2]总投资-发采购-0411-GLP拆分场外费用(司调)'!G246</f>
        <v>289</v>
      </c>
      <c r="E224" s="924">
        <f t="shared" si="13"/>
        <v>40.646976090014064</v>
      </c>
      <c r="F224" s="920">
        <v>1</v>
      </c>
      <c r="G224" s="924">
        <f t="shared" si="12"/>
        <v>289</v>
      </c>
      <c r="H224" s="606"/>
      <c r="I224" s="606"/>
      <c r="J224" s="606"/>
      <c r="K224" s="697"/>
      <c r="L224" s="606"/>
      <c r="M224" s="606"/>
      <c r="N224" s="738"/>
      <c r="O224" s="738"/>
      <c r="P224" s="709"/>
    </row>
    <row r="225" spans="1:16" hidden="1">
      <c r="A225" s="938"/>
      <c r="B225" s="938" t="s">
        <v>157</v>
      </c>
      <c r="C225" s="939"/>
      <c r="D225" s="923">
        <f>'[2]总投资-发采购-0411-GLP拆分场外费用(司调)'!G247</f>
        <v>4</v>
      </c>
      <c r="E225" s="924">
        <f t="shared" si="13"/>
        <v>0.56258790436005623</v>
      </c>
      <c r="F225" s="920">
        <v>1</v>
      </c>
      <c r="G225" s="924">
        <f t="shared" si="12"/>
        <v>4</v>
      </c>
      <c r="H225" s="606"/>
      <c r="I225" s="606"/>
      <c r="J225" s="606"/>
      <c r="K225" s="697"/>
      <c r="L225" s="606"/>
      <c r="M225" s="606"/>
      <c r="N225" s="738"/>
      <c r="O225" s="738"/>
      <c r="P225" s="709"/>
    </row>
    <row r="226" spans="1:16" hidden="1">
      <c r="A226" s="938"/>
      <c r="B226" s="938" t="s">
        <v>158</v>
      </c>
      <c r="C226" s="939"/>
      <c r="D226" s="923">
        <f>'[2]总投资-发采购-0411-GLP拆分场外费用(司调)'!G248</f>
        <v>4</v>
      </c>
      <c r="E226" s="924">
        <f t="shared" si="13"/>
        <v>0.56258790436005623</v>
      </c>
      <c r="F226" s="920">
        <v>1</v>
      </c>
      <c r="G226" s="924">
        <f t="shared" si="12"/>
        <v>4</v>
      </c>
      <c r="H226" s="606"/>
      <c r="I226" s="606"/>
      <c r="J226" s="606"/>
      <c r="K226" s="697"/>
      <c r="L226" s="606"/>
      <c r="M226" s="606"/>
      <c r="N226" s="738"/>
      <c r="O226" s="738"/>
      <c r="P226" s="709"/>
    </row>
    <row r="227" spans="1:16" hidden="1">
      <c r="A227" s="938"/>
      <c r="B227" s="938" t="s">
        <v>159</v>
      </c>
      <c r="C227" s="939"/>
      <c r="D227" s="923">
        <f>'[2]总投资-发采购-0411-GLP拆分场外费用(司调)'!G249</f>
        <v>32</v>
      </c>
      <c r="E227" s="924">
        <f t="shared" si="13"/>
        <v>4.5007032348804499</v>
      </c>
      <c r="F227" s="920">
        <v>1</v>
      </c>
      <c r="G227" s="924">
        <f t="shared" si="12"/>
        <v>32</v>
      </c>
      <c r="H227" s="606"/>
      <c r="I227" s="606"/>
      <c r="J227" s="606"/>
      <c r="K227" s="697"/>
      <c r="L227" s="606"/>
      <c r="M227" s="606"/>
      <c r="N227" s="738"/>
      <c r="O227" s="738"/>
      <c r="P227" s="709"/>
    </row>
    <row r="228" spans="1:16" hidden="1">
      <c r="A228" s="938"/>
      <c r="B228" s="938" t="s">
        <v>354</v>
      </c>
      <c r="C228" s="939"/>
      <c r="D228" s="923">
        <f>'[2]总投资-发采购-0411-GLP拆分场外费用(司调)'!G250</f>
        <v>35</v>
      </c>
      <c r="E228" s="924">
        <f t="shared" si="13"/>
        <v>4.9226441631504922</v>
      </c>
      <c r="F228" s="920">
        <v>1</v>
      </c>
      <c r="G228" s="924">
        <f t="shared" si="12"/>
        <v>35</v>
      </c>
      <c r="H228" s="606"/>
      <c r="I228" s="606"/>
      <c r="J228" s="606"/>
      <c r="K228" s="697"/>
      <c r="L228" s="606"/>
      <c r="M228" s="606"/>
      <c r="N228" s="738"/>
      <c r="O228" s="738"/>
      <c r="P228" s="709"/>
    </row>
    <row r="229" spans="1:16" hidden="1">
      <c r="A229" s="934">
        <v>3.1</v>
      </c>
      <c r="B229" s="934" t="s">
        <v>355</v>
      </c>
      <c r="C229" s="935"/>
      <c r="D229" s="936">
        <f>'[2]总投资-发采购-0411-GLP拆分场外费用(司调)'!G223</f>
        <v>19952.8472401367</v>
      </c>
      <c r="E229" s="937">
        <f t="shared" si="13"/>
        <v>2806.3076287112094</v>
      </c>
      <c r="F229" s="920">
        <v>1</v>
      </c>
      <c r="G229" s="937">
        <f t="shared" si="12"/>
        <v>19952.8472401367</v>
      </c>
      <c r="H229" s="606"/>
      <c r="I229" s="606"/>
      <c r="J229" s="606"/>
      <c r="K229" s="697"/>
      <c r="L229" s="606"/>
      <c r="M229" s="606"/>
      <c r="N229" s="738"/>
      <c r="O229" s="738"/>
      <c r="P229" s="709"/>
    </row>
    <row r="230" spans="1:16" hidden="1">
      <c r="A230" s="938" t="s">
        <v>356</v>
      </c>
      <c r="B230" s="938" t="s">
        <v>141</v>
      </c>
      <c r="C230" s="939"/>
      <c r="D230" s="923">
        <f>'[2]总投资-发采购-0411-GLP拆分场外费用(司调)'!G224</f>
        <v>14787.06</v>
      </c>
      <c r="E230" s="924">
        <f t="shared" si="13"/>
        <v>2079.7552742616031</v>
      </c>
      <c r="F230" s="920">
        <v>1</v>
      </c>
      <c r="G230" s="924">
        <f t="shared" si="12"/>
        <v>14787.06</v>
      </c>
      <c r="H230" s="606"/>
      <c r="I230" s="606"/>
      <c r="J230" s="606"/>
      <c r="K230" s="697"/>
      <c r="L230" s="606"/>
      <c r="M230" s="606"/>
      <c r="N230" s="738"/>
      <c r="O230" s="738"/>
      <c r="P230" s="709"/>
    </row>
    <row r="231" spans="1:16" hidden="1">
      <c r="A231" s="938" t="s">
        <v>357</v>
      </c>
      <c r="B231" s="938" t="s">
        <v>143</v>
      </c>
      <c r="C231" s="939"/>
      <c r="D231" s="923">
        <f>'[2]总投资-发采购-0411-GLP拆分场外费用(司调)'!G225</f>
        <v>98.580399999999997</v>
      </c>
      <c r="E231" s="924">
        <f t="shared" si="13"/>
        <v>13.865035161744022</v>
      </c>
      <c r="F231" s="920">
        <v>1</v>
      </c>
      <c r="G231" s="924">
        <f t="shared" si="12"/>
        <v>98.580399999999997</v>
      </c>
      <c r="H231" s="606"/>
      <c r="I231" s="606"/>
      <c r="J231" s="606"/>
      <c r="K231" s="697"/>
      <c r="L231" s="606"/>
      <c r="M231" s="606"/>
      <c r="N231" s="738"/>
      <c r="O231" s="738"/>
      <c r="P231" s="709"/>
    </row>
    <row r="232" spans="1:16" hidden="1">
      <c r="A232" s="938" t="s">
        <v>358</v>
      </c>
      <c r="B232" s="938" t="s">
        <v>145</v>
      </c>
      <c r="C232" s="939"/>
      <c r="D232" s="923">
        <f>'[2]总投资-发采购-0411-GLP拆分场外费用(司调)'!G226</f>
        <v>571.76631999999995</v>
      </c>
      <c r="E232" s="924">
        <f t="shared" si="13"/>
        <v>80.417203938115321</v>
      </c>
      <c r="F232" s="920">
        <v>1</v>
      </c>
      <c r="G232" s="924">
        <f t="shared" si="12"/>
        <v>571.76631999999995</v>
      </c>
      <c r="H232" s="606"/>
      <c r="I232" s="606"/>
      <c r="J232" s="606"/>
      <c r="K232" s="697"/>
      <c r="L232" s="606"/>
      <c r="M232" s="606"/>
      <c r="N232" s="738"/>
      <c r="O232" s="738"/>
      <c r="P232" s="709"/>
    </row>
    <row r="233" spans="1:16" hidden="1">
      <c r="A233" s="938" t="s">
        <v>359</v>
      </c>
      <c r="B233" s="938" t="s">
        <v>147</v>
      </c>
      <c r="C233" s="939"/>
      <c r="D233" s="923">
        <f>'[2]总投资-发采购-0411-GLP拆分场外费用(司调)'!G227</f>
        <v>453.46983999999998</v>
      </c>
      <c r="E233" s="924">
        <f t="shared" si="13"/>
        <v>63.779161744022495</v>
      </c>
      <c r="F233" s="920">
        <v>1</v>
      </c>
      <c r="G233" s="924">
        <f t="shared" si="12"/>
        <v>453.46983999999998</v>
      </c>
      <c r="H233" s="606"/>
      <c r="I233" s="606"/>
      <c r="J233" s="606"/>
      <c r="K233" s="697"/>
      <c r="L233" s="606"/>
      <c r="M233" s="606"/>
      <c r="N233" s="738"/>
      <c r="O233" s="738"/>
      <c r="P233" s="709"/>
    </row>
    <row r="234" spans="1:16" hidden="1">
      <c r="A234" s="938" t="s">
        <v>360</v>
      </c>
      <c r="B234" s="938" t="s">
        <v>149</v>
      </c>
      <c r="C234" s="939"/>
      <c r="D234" s="923">
        <f>'[2]总投资-发采购-0411-GLP拆分场外费用(司调)'!G228</f>
        <v>552.05024000000003</v>
      </c>
      <c r="E234" s="924">
        <f t="shared" si="13"/>
        <v>77.64419690576652</v>
      </c>
      <c r="F234" s="920">
        <v>1</v>
      </c>
      <c r="G234" s="924">
        <f t="shared" si="12"/>
        <v>552.05024000000003</v>
      </c>
      <c r="H234" s="606"/>
      <c r="I234" s="606"/>
      <c r="J234" s="606"/>
      <c r="K234" s="697"/>
      <c r="L234" s="606"/>
      <c r="M234" s="606"/>
      <c r="N234" s="738"/>
      <c r="O234" s="947"/>
      <c r="P234" s="709"/>
    </row>
    <row r="235" spans="1:16" hidden="1">
      <c r="A235" s="938" t="s">
        <v>361</v>
      </c>
      <c r="B235" s="938" t="s">
        <v>151</v>
      </c>
      <c r="C235" s="939"/>
      <c r="D235" s="923">
        <f>'[2]总投资-发采购-0411-GLP拆分场外费用(司调)'!G229</f>
        <v>157.72864000000001</v>
      </c>
      <c r="E235" s="924">
        <f t="shared" si="13"/>
        <v>22.184056258790438</v>
      </c>
      <c r="F235" s="920">
        <v>1</v>
      </c>
      <c r="G235" s="924">
        <f t="shared" si="12"/>
        <v>157.72864000000001</v>
      </c>
      <c r="H235" s="606"/>
      <c r="I235" s="606"/>
      <c r="J235" s="606"/>
      <c r="K235" s="697"/>
      <c r="L235" s="606"/>
      <c r="M235" s="606"/>
      <c r="N235" s="738"/>
      <c r="O235" s="738"/>
      <c r="P235" s="709"/>
    </row>
    <row r="236" spans="1:16" hidden="1">
      <c r="A236" s="938" t="s">
        <v>362</v>
      </c>
      <c r="B236" s="938" t="s">
        <v>153</v>
      </c>
      <c r="C236" s="939"/>
      <c r="D236" s="923">
        <f>'[2]总投资-发采购-0411-GLP拆分场外费用(司调)'!G230</f>
        <v>788.64319999999998</v>
      </c>
      <c r="E236" s="924">
        <f t="shared" si="13"/>
        <v>110.92028129395217</v>
      </c>
      <c r="F236" s="920">
        <v>1</v>
      </c>
      <c r="G236" s="924">
        <f t="shared" si="12"/>
        <v>788.64319999999998</v>
      </c>
      <c r="H236" s="606"/>
      <c r="I236" s="606"/>
      <c r="J236" s="606"/>
      <c r="K236" s="697"/>
      <c r="L236" s="606"/>
      <c r="M236" s="606"/>
      <c r="N236" s="738"/>
      <c r="O236" s="738"/>
      <c r="P236" s="709"/>
    </row>
    <row r="237" spans="1:16" hidden="1">
      <c r="A237" s="938"/>
      <c r="B237" s="938" t="s">
        <v>155</v>
      </c>
      <c r="C237" s="939"/>
      <c r="D237" s="923">
        <f>'[2]总投资-发采购-0411-GLP拆分场外费用(司调)'!G231</f>
        <v>2458.5486001366498</v>
      </c>
      <c r="E237" s="924">
        <f t="shared" si="13"/>
        <v>345.78742617955692</v>
      </c>
      <c r="F237" s="920">
        <v>1</v>
      </c>
      <c r="G237" s="924">
        <f t="shared" si="12"/>
        <v>2458.5486001366498</v>
      </c>
      <c r="H237" s="606"/>
      <c r="I237" s="606"/>
      <c r="J237" s="606"/>
      <c r="K237" s="697"/>
      <c r="L237" s="606"/>
      <c r="M237" s="606"/>
      <c r="N237" s="738"/>
      <c r="O237" s="738"/>
      <c r="P237" s="709"/>
    </row>
    <row r="238" spans="1:16" hidden="1">
      <c r="A238" s="938" t="s">
        <v>363</v>
      </c>
      <c r="B238" s="938" t="s">
        <v>156</v>
      </c>
      <c r="C238" s="939"/>
      <c r="D238" s="923">
        <f>'[2]总投资-发采购-0411-GLP拆分场外费用(司调)'!G232</f>
        <v>85</v>
      </c>
      <c r="E238" s="924">
        <f t="shared" si="13"/>
        <v>11.954992967651195</v>
      </c>
      <c r="F238" s="920">
        <v>1</v>
      </c>
      <c r="G238" s="924">
        <f t="shared" si="12"/>
        <v>85</v>
      </c>
      <c r="H238" s="606"/>
      <c r="I238" s="606"/>
      <c r="J238" s="606"/>
      <c r="K238" s="697"/>
      <c r="L238" s="606"/>
      <c r="M238" s="606"/>
      <c r="N238" s="738"/>
      <c r="O238" s="738"/>
      <c r="P238" s="709"/>
    </row>
    <row r="239" spans="1:16" hidden="1">
      <c r="A239" s="938"/>
      <c r="B239" s="938" t="s">
        <v>157</v>
      </c>
      <c r="C239" s="939"/>
      <c r="D239" s="923">
        <f>'[2]总投资-发采购-0411-GLP拆分场外费用(司调)'!G233</f>
        <v>4</v>
      </c>
      <c r="E239" s="924">
        <f t="shared" si="13"/>
        <v>0.56258790436005623</v>
      </c>
      <c r="F239" s="920">
        <v>1</v>
      </c>
      <c r="G239" s="924">
        <f t="shared" si="12"/>
        <v>4</v>
      </c>
      <c r="H239" s="606"/>
      <c r="I239" s="606"/>
      <c r="J239" s="606"/>
      <c r="K239" s="697"/>
      <c r="L239" s="606"/>
      <c r="M239" s="606"/>
      <c r="N239" s="738"/>
      <c r="O239" s="738"/>
      <c r="P239" s="709"/>
    </row>
    <row r="240" spans="1:16" hidden="1">
      <c r="A240" s="938"/>
      <c r="B240" s="938" t="s">
        <v>158</v>
      </c>
      <c r="C240" s="939"/>
      <c r="D240" s="923">
        <f>'[2]总投资-发采购-0411-GLP拆分场外费用(司调)'!G234</f>
        <v>15</v>
      </c>
      <c r="E240" s="924">
        <f t="shared" si="13"/>
        <v>2.109704641350211</v>
      </c>
      <c r="F240" s="920">
        <v>1</v>
      </c>
      <c r="G240" s="924">
        <f t="shared" si="12"/>
        <v>15</v>
      </c>
      <c r="H240" s="606"/>
      <c r="I240" s="606"/>
      <c r="J240" s="606"/>
      <c r="K240" s="697"/>
      <c r="L240" s="606"/>
      <c r="M240" s="606"/>
      <c r="N240" s="738"/>
      <c r="O240" s="738"/>
      <c r="P240" s="709"/>
    </row>
    <row r="241" spans="1:16" hidden="1">
      <c r="A241" s="938"/>
      <c r="B241" s="938" t="s">
        <v>159</v>
      </c>
      <c r="C241" s="939"/>
      <c r="D241" s="923">
        <f>'[2]总投资-发采购-0411-GLP拆分场外费用(司调)'!G235</f>
        <v>66</v>
      </c>
      <c r="E241" s="924">
        <f t="shared" si="13"/>
        <v>9.2827004219409286</v>
      </c>
      <c r="F241" s="920">
        <v>1</v>
      </c>
      <c r="G241" s="924">
        <f t="shared" si="12"/>
        <v>66</v>
      </c>
      <c r="H241" s="606"/>
      <c r="I241" s="606"/>
      <c r="J241" s="606"/>
      <c r="K241" s="697"/>
      <c r="L241" s="606"/>
      <c r="M241" s="606"/>
      <c r="N241" s="738"/>
      <c r="O241" s="738"/>
      <c r="P241" s="709"/>
    </row>
    <row r="242" spans="1:16" hidden="1">
      <c r="A242" s="1075" t="s">
        <v>104</v>
      </c>
      <c r="B242" s="1076"/>
      <c r="C242" s="1077"/>
      <c r="D242" s="713">
        <f>SUM(D213)</f>
        <v>28051.084587734578</v>
      </c>
      <c r="E242" s="713">
        <f t="shared" ref="E242:G242" si="14">SUM(E213)</f>
        <v>3945.3002233100669</v>
      </c>
      <c r="F242" s="932">
        <v>1</v>
      </c>
      <c r="G242" s="713">
        <f t="shared" si="14"/>
        <v>28051.084587734578</v>
      </c>
      <c r="H242" s="606"/>
      <c r="I242" s="606"/>
      <c r="J242" s="606"/>
      <c r="K242" s="606"/>
      <c r="L242" s="606"/>
      <c r="M242" s="606"/>
      <c r="N242" s="738"/>
      <c r="O242" s="606"/>
      <c r="P242" s="606"/>
    </row>
    <row r="243" spans="1:16">
      <c r="A243" s="917" t="s">
        <v>56</v>
      </c>
      <c r="B243" s="723" t="s">
        <v>57</v>
      </c>
      <c r="C243" s="723"/>
      <c r="D243" s="724"/>
      <c r="E243" s="725"/>
      <c r="F243" s="724"/>
      <c r="G243" s="724"/>
      <c r="H243" s="726"/>
      <c r="I243" s="726"/>
      <c r="J243" s="726"/>
      <c r="K243" s="726"/>
      <c r="L243" s="726"/>
      <c r="M243" s="726"/>
      <c r="N243" s="743"/>
      <c r="O243" s="744"/>
      <c r="P243" s="706"/>
    </row>
    <row r="244" spans="1:16" ht="39.6">
      <c r="A244" s="749" t="s">
        <v>366</v>
      </c>
      <c r="B244" s="790" t="s">
        <v>642</v>
      </c>
      <c r="C244" s="790" t="s">
        <v>643</v>
      </c>
      <c r="D244" s="791">
        <f>SUM('[2]总投资-发采购-0411-GLP拆分场外费用(司调)'!G303,'[2]总投资-发采购-0411-GLP拆分场外费用(司调)'!G307,'[2]总投资-发采购-0411-GLP拆分场外费用(司调)'!G311,'[2]总投资-发采购-0411-GLP拆分场外费用(司调)'!G313,'[2]总投资-发采购-0411-GLP拆分场外费用(司调)'!G315,'[2]总投资-发采购-0411-GLP拆分场外费用(司调)'!G317)</f>
        <v>20312.849999999999</v>
      </c>
      <c r="E244" s="792">
        <f>D244/$A$3</f>
        <v>2856.9409282700417</v>
      </c>
      <c r="F244" s="940">
        <v>1</v>
      </c>
      <c r="G244" s="792">
        <f>D244</f>
        <v>20312.849999999999</v>
      </c>
      <c r="H244" s="749" t="s">
        <v>543</v>
      </c>
      <c r="I244" s="749" t="s">
        <v>30</v>
      </c>
      <c r="J244" s="749">
        <v>12</v>
      </c>
      <c r="K244" s="754" t="s">
        <v>31</v>
      </c>
      <c r="L244" s="755" t="s">
        <v>369</v>
      </c>
      <c r="M244" s="755" t="s">
        <v>337</v>
      </c>
      <c r="N244" s="755" t="s">
        <v>337</v>
      </c>
      <c r="O244" s="755" t="s">
        <v>293</v>
      </c>
      <c r="P244" s="754"/>
    </row>
    <row r="245" spans="1:16" hidden="1">
      <c r="A245" s="941">
        <v>6</v>
      </c>
      <c r="B245" s="942" t="s">
        <v>370</v>
      </c>
      <c r="C245" s="943"/>
      <c r="D245" s="944">
        <f>'[2]总投资-发采购-0411-GLP拆分场外费用(司调)'!G303</f>
        <v>2688.05</v>
      </c>
      <c r="E245" s="945">
        <f>D245/$A$3</f>
        <v>378.06610407876229</v>
      </c>
      <c r="F245" s="940">
        <v>1</v>
      </c>
      <c r="G245" s="945">
        <f>D245</f>
        <v>2688.05</v>
      </c>
      <c r="H245" s="749"/>
      <c r="I245" s="749"/>
      <c r="J245" s="749"/>
      <c r="K245" s="754" t="s">
        <v>224</v>
      </c>
      <c r="L245" s="755"/>
      <c r="M245" s="755"/>
      <c r="N245" s="755"/>
      <c r="O245" s="755"/>
      <c r="P245" s="754"/>
    </row>
    <row r="246" spans="1:16" hidden="1">
      <c r="A246" s="946" t="s">
        <v>371</v>
      </c>
      <c r="B246" s="942" t="s">
        <v>372</v>
      </c>
      <c r="C246" s="942"/>
      <c r="D246" s="944">
        <f>'[2]总投资-发采购-0411-GLP拆分场外费用(司调)'!G304</f>
        <v>399.45</v>
      </c>
      <c r="E246" s="945">
        <f t="shared" ref="E246:E264" si="15">D246/$A$3</f>
        <v>56.181434599156113</v>
      </c>
      <c r="F246" s="940">
        <v>1</v>
      </c>
      <c r="G246" s="945">
        <f t="shared" ref="G246:G262" si="16">D246</f>
        <v>399.45</v>
      </c>
      <c r="H246" s="749"/>
      <c r="I246" s="749"/>
      <c r="J246" s="749"/>
      <c r="K246" s="754" t="s">
        <v>224</v>
      </c>
      <c r="L246" s="755"/>
      <c r="M246" s="755"/>
      <c r="N246" s="755"/>
      <c r="O246" s="755"/>
      <c r="P246" s="754"/>
    </row>
    <row r="247" spans="1:16" hidden="1">
      <c r="A247" s="946" t="s">
        <v>373</v>
      </c>
      <c r="B247" s="942" t="s">
        <v>374</v>
      </c>
      <c r="C247" s="942"/>
      <c r="D247" s="944">
        <f>'[2]总投资-发采购-0411-GLP拆分场外费用(司调)'!G305</f>
        <v>2145.6</v>
      </c>
      <c r="E247" s="945">
        <f t="shared" si="15"/>
        <v>301.77215189873414</v>
      </c>
      <c r="F247" s="940">
        <v>1</v>
      </c>
      <c r="G247" s="945">
        <f t="shared" si="16"/>
        <v>2145.6</v>
      </c>
      <c r="H247" s="749"/>
      <c r="I247" s="749"/>
      <c r="J247" s="749"/>
      <c r="K247" s="754" t="s">
        <v>224</v>
      </c>
      <c r="L247" s="755"/>
      <c r="M247" s="755"/>
      <c r="N247" s="755"/>
      <c r="O247" s="755"/>
      <c r="P247" s="754"/>
    </row>
    <row r="248" spans="1:16" hidden="1">
      <c r="A248" s="946" t="s">
        <v>375</v>
      </c>
      <c r="B248" s="942" t="s">
        <v>376</v>
      </c>
      <c r="C248" s="942"/>
      <c r="D248" s="944">
        <f>'[2]总投资-发采购-0411-GLP拆分场外费用(司调)'!G306</f>
        <v>143</v>
      </c>
      <c r="E248" s="945">
        <f t="shared" si="15"/>
        <v>20.112517580872009</v>
      </c>
      <c r="F248" s="940">
        <v>1</v>
      </c>
      <c r="G248" s="945">
        <f t="shared" si="16"/>
        <v>143</v>
      </c>
      <c r="H248" s="749"/>
      <c r="I248" s="749"/>
      <c r="J248" s="749"/>
      <c r="K248" s="754" t="s">
        <v>224</v>
      </c>
      <c r="L248" s="755"/>
      <c r="M248" s="755"/>
      <c r="N248" s="755"/>
      <c r="O248" s="755"/>
      <c r="P248" s="754"/>
    </row>
    <row r="249" spans="1:16" hidden="1">
      <c r="A249" s="946" t="s">
        <v>377</v>
      </c>
      <c r="B249" s="942" t="s">
        <v>378</v>
      </c>
      <c r="C249" s="942"/>
      <c r="D249" s="944">
        <f>'[2]总投资-发采购-0411-GLP拆分场外费用(司调)'!G307</f>
        <v>6521.05</v>
      </c>
      <c r="E249" s="945">
        <f t="shared" si="15"/>
        <v>917.16596343178617</v>
      </c>
      <c r="F249" s="940">
        <v>1</v>
      </c>
      <c r="G249" s="945">
        <f t="shared" si="16"/>
        <v>6521.05</v>
      </c>
      <c r="H249" s="749"/>
      <c r="I249" s="749"/>
      <c r="J249" s="749"/>
      <c r="K249" s="754" t="s">
        <v>224</v>
      </c>
      <c r="L249" s="755"/>
      <c r="M249" s="755"/>
      <c r="N249" s="755"/>
      <c r="O249" s="755"/>
      <c r="P249" s="754"/>
    </row>
    <row r="250" spans="1:16" hidden="1">
      <c r="A250" s="946">
        <v>6.2</v>
      </c>
      <c r="B250" s="942" t="s">
        <v>379</v>
      </c>
      <c r="C250" s="942"/>
      <c r="D250" s="944">
        <f>'[2]总投资-发采购-0411-GLP拆分场外费用(司调)'!G307</f>
        <v>6521.05</v>
      </c>
      <c r="E250" s="945">
        <f t="shared" si="15"/>
        <v>917.16596343178617</v>
      </c>
      <c r="F250" s="940">
        <v>1</v>
      </c>
      <c r="G250" s="945">
        <f t="shared" si="16"/>
        <v>6521.05</v>
      </c>
      <c r="H250" s="749"/>
      <c r="I250" s="749"/>
      <c r="J250" s="749"/>
      <c r="K250" s="754" t="s">
        <v>224</v>
      </c>
      <c r="L250" s="755"/>
      <c r="M250" s="755"/>
      <c r="N250" s="755"/>
      <c r="O250" s="755"/>
      <c r="P250" s="754"/>
    </row>
    <row r="251" spans="1:16" hidden="1">
      <c r="A251" s="946" t="s">
        <v>380</v>
      </c>
      <c r="B251" s="942" t="s">
        <v>374</v>
      </c>
      <c r="C251" s="942"/>
      <c r="D251" s="944">
        <f>'[2]总投资-发采购-0411-GLP拆分场外费用(司调)'!G308</f>
        <v>356.25</v>
      </c>
      <c r="E251" s="945">
        <f t="shared" si="15"/>
        <v>50.105485232067508</v>
      </c>
      <c r="F251" s="940">
        <v>1</v>
      </c>
      <c r="G251" s="945">
        <f t="shared" si="16"/>
        <v>356.25</v>
      </c>
      <c r="H251" s="749"/>
      <c r="I251" s="749"/>
      <c r="J251" s="749"/>
      <c r="K251" s="754" t="s">
        <v>224</v>
      </c>
      <c r="L251" s="755"/>
      <c r="M251" s="755"/>
      <c r="N251" s="755"/>
      <c r="O251" s="755"/>
      <c r="P251" s="754"/>
    </row>
    <row r="252" spans="1:16" hidden="1">
      <c r="A252" s="946" t="s">
        <v>381</v>
      </c>
      <c r="B252" s="942" t="s">
        <v>376</v>
      </c>
      <c r="C252" s="942"/>
      <c r="D252" s="944">
        <f>'[2]总投资-发采购-0411-GLP拆分场外费用(司调)'!G309</f>
        <v>5956.8</v>
      </c>
      <c r="E252" s="945">
        <f t="shared" si="15"/>
        <v>837.80590717299572</v>
      </c>
      <c r="F252" s="940">
        <v>1</v>
      </c>
      <c r="G252" s="945">
        <f t="shared" si="16"/>
        <v>5956.8</v>
      </c>
      <c r="H252" s="749"/>
      <c r="I252" s="749"/>
      <c r="J252" s="749"/>
      <c r="K252" s="754" t="s">
        <v>224</v>
      </c>
      <c r="L252" s="755"/>
      <c r="M252" s="755"/>
      <c r="N252" s="755"/>
      <c r="O252" s="755"/>
      <c r="P252" s="754"/>
    </row>
    <row r="253" spans="1:16" hidden="1">
      <c r="A253" s="946" t="s">
        <v>382</v>
      </c>
      <c r="B253" s="942" t="s">
        <v>378</v>
      </c>
      <c r="C253" s="942"/>
      <c r="D253" s="944">
        <f>'[2]总投资-发采购-0411-GLP拆分场外费用(司调)'!G310</f>
        <v>208</v>
      </c>
      <c r="E253" s="945">
        <f t="shared" si="15"/>
        <v>29.254571026722925</v>
      </c>
      <c r="F253" s="940">
        <v>1</v>
      </c>
      <c r="G253" s="945">
        <f t="shared" si="16"/>
        <v>208</v>
      </c>
      <c r="H253" s="749"/>
      <c r="I253" s="749"/>
      <c r="J253" s="749"/>
      <c r="K253" s="754" t="s">
        <v>224</v>
      </c>
      <c r="L253" s="755"/>
      <c r="M253" s="755"/>
      <c r="N253" s="755"/>
      <c r="O253" s="755"/>
      <c r="P253" s="754"/>
    </row>
    <row r="254" spans="1:16" hidden="1">
      <c r="A254" s="946" t="s">
        <v>383</v>
      </c>
      <c r="B254" s="942" t="s">
        <v>384</v>
      </c>
      <c r="C254" s="942"/>
      <c r="D254" s="944">
        <f>'[2]总投资-发采购-0411-GLP拆分场外费用(司调)'!G311</f>
        <v>1959.93</v>
      </c>
      <c r="E254" s="945">
        <f t="shared" si="15"/>
        <v>275.65822784810126</v>
      </c>
      <c r="F254" s="940">
        <v>1</v>
      </c>
      <c r="G254" s="945">
        <f t="shared" si="16"/>
        <v>1959.93</v>
      </c>
      <c r="H254" s="749"/>
      <c r="I254" s="749"/>
      <c r="J254" s="749"/>
      <c r="K254" s="754" t="s">
        <v>224</v>
      </c>
      <c r="L254" s="755"/>
      <c r="M254" s="755"/>
      <c r="N254" s="755"/>
      <c r="O254" s="755"/>
      <c r="P254" s="754"/>
    </row>
    <row r="255" spans="1:16" hidden="1">
      <c r="A255" s="946" t="s">
        <v>385</v>
      </c>
      <c r="B255" s="942" t="s">
        <v>374</v>
      </c>
      <c r="C255" s="942"/>
      <c r="D255" s="944">
        <f>'[2]总投资-发采购-0411-GLP拆分场外费用(司调)'!G312</f>
        <v>1959.93</v>
      </c>
      <c r="E255" s="945">
        <f t="shared" si="15"/>
        <v>275.65822784810126</v>
      </c>
      <c r="F255" s="940">
        <v>1</v>
      </c>
      <c r="G255" s="945">
        <f t="shared" si="16"/>
        <v>1959.93</v>
      </c>
      <c r="H255" s="749"/>
      <c r="I255" s="749"/>
      <c r="J255" s="749"/>
      <c r="K255" s="754" t="s">
        <v>224</v>
      </c>
      <c r="L255" s="755"/>
      <c r="M255" s="755"/>
      <c r="N255" s="755"/>
      <c r="O255" s="755"/>
      <c r="P255" s="754"/>
    </row>
    <row r="256" spans="1:16" hidden="1">
      <c r="A256" s="946">
        <v>6.4</v>
      </c>
      <c r="B256" s="942" t="s">
        <v>386</v>
      </c>
      <c r="C256" s="942"/>
      <c r="D256" s="944">
        <f>'[2]总投资-发采购-0411-GLP拆分场外费用(司调)'!G313</f>
        <v>3742.2</v>
      </c>
      <c r="E256" s="945">
        <f t="shared" si="15"/>
        <v>526.3291139240506</v>
      </c>
      <c r="F256" s="940">
        <v>1</v>
      </c>
      <c r="G256" s="945">
        <f t="shared" si="16"/>
        <v>3742.2</v>
      </c>
      <c r="H256" s="749"/>
      <c r="I256" s="749"/>
      <c r="J256" s="749"/>
      <c r="K256" s="754" t="s">
        <v>224</v>
      </c>
      <c r="L256" s="755"/>
      <c r="M256" s="755"/>
      <c r="N256" s="755"/>
      <c r="O256" s="755"/>
      <c r="P256" s="754"/>
    </row>
    <row r="257" spans="1:16" hidden="1">
      <c r="A257" s="946" t="s">
        <v>387</v>
      </c>
      <c r="B257" s="942" t="s">
        <v>374</v>
      </c>
      <c r="C257" s="942"/>
      <c r="D257" s="944">
        <f>'[2]总投资-发采购-0411-GLP拆分场外费用(司调)'!G314</f>
        <v>3742.2</v>
      </c>
      <c r="E257" s="945">
        <f t="shared" si="15"/>
        <v>526.3291139240506</v>
      </c>
      <c r="F257" s="940">
        <v>1</v>
      </c>
      <c r="G257" s="945">
        <f t="shared" si="16"/>
        <v>3742.2</v>
      </c>
      <c r="H257" s="749"/>
      <c r="I257" s="749"/>
      <c r="J257" s="749"/>
      <c r="K257" s="754" t="s">
        <v>224</v>
      </c>
      <c r="L257" s="755"/>
      <c r="M257" s="755"/>
      <c r="N257" s="755"/>
      <c r="O257" s="755"/>
      <c r="P257" s="754"/>
    </row>
    <row r="258" spans="1:16" hidden="1">
      <c r="A258" s="946">
        <v>6.5</v>
      </c>
      <c r="B258" s="942" t="s">
        <v>388</v>
      </c>
      <c r="C258" s="942"/>
      <c r="D258" s="944">
        <f>'[2]总投资-发采购-0411-GLP拆分场外费用(司调)'!G315</f>
        <v>4063.5</v>
      </c>
      <c r="E258" s="945">
        <f t="shared" si="15"/>
        <v>571.51898734177212</v>
      </c>
      <c r="F258" s="940">
        <v>1</v>
      </c>
      <c r="G258" s="945">
        <f t="shared" si="16"/>
        <v>4063.5</v>
      </c>
      <c r="H258" s="749"/>
      <c r="I258" s="749"/>
      <c r="J258" s="749"/>
      <c r="K258" s="754" t="s">
        <v>224</v>
      </c>
      <c r="L258" s="755"/>
      <c r="M258" s="755"/>
      <c r="N258" s="755"/>
      <c r="O258" s="755"/>
      <c r="P258" s="754"/>
    </row>
    <row r="259" spans="1:16" hidden="1">
      <c r="A259" s="946" t="s">
        <v>389</v>
      </c>
      <c r="B259" s="942" t="s">
        <v>374</v>
      </c>
      <c r="C259" s="942"/>
      <c r="D259" s="944">
        <f>'[2]总投资-发采购-0411-GLP拆分场外费用(司调)'!G316</f>
        <v>4063.5</v>
      </c>
      <c r="E259" s="945">
        <f t="shared" si="15"/>
        <v>571.51898734177212</v>
      </c>
      <c r="F259" s="940">
        <v>1</v>
      </c>
      <c r="G259" s="945">
        <f t="shared" si="16"/>
        <v>4063.5</v>
      </c>
      <c r="H259" s="749"/>
      <c r="I259" s="749"/>
      <c r="J259" s="749"/>
      <c r="K259" s="754" t="s">
        <v>224</v>
      </c>
      <c r="L259" s="755"/>
      <c r="M259" s="755"/>
      <c r="N259" s="755"/>
      <c r="O259" s="755"/>
      <c r="P259" s="754"/>
    </row>
    <row r="260" spans="1:16" hidden="1">
      <c r="A260" s="946">
        <v>6.6</v>
      </c>
      <c r="B260" s="942" t="s">
        <v>390</v>
      </c>
      <c r="C260" s="942"/>
      <c r="D260" s="944">
        <f>'[2]总投资-发采购-0411-GLP拆分场外费用(司调)'!G317</f>
        <v>1338.12</v>
      </c>
      <c r="E260" s="945">
        <f t="shared" si="15"/>
        <v>188.20253164556959</v>
      </c>
      <c r="F260" s="940">
        <v>1</v>
      </c>
      <c r="G260" s="945">
        <f t="shared" si="16"/>
        <v>1338.12</v>
      </c>
      <c r="H260" s="749"/>
      <c r="I260" s="749"/>
      <c r="J260" s="749"/>
      <c r="K260" s="754" t="s">
        <v>224</v>
      </c>
      <c r="L260" s="755"/>
      <c r="M260" s="755"/>
      <c r="N260" s="755"/>
      <c r="O260" s="755"/>
      <c r="P260" s="754"/>
    </row>
    <row r="261" spans="1:16" hidden="1">
      <c r="A261" s="946" t="s">
        <v>391</v>
      </c>
      <c r="B261" s="942" t="s">
        <v>374</v>
      </c>
      <c r="C261" s="942"/>
      <c r="D261" s="944">
        <f>'[2]总投资-发采购-0411-GLP拆分场外费用(司调)'!G318</f>
        <v>1338.12</v>
      </c>
      <c r="E261" s="945">
        <f t="shared" si="15"/>
        <v>188.20253164556959</v>
      </c>
      <c r="F261" s="940">
        <v>1</v>
      </c>
      <c r="G261" s="945">
        <f t="shared" si="16"/>
        <v>1338.12</v>
      </c>
      <c r="H261" s="749"/>
      <c r="I261" s="749"/>
      <c r="J261" s="749"/>
      <c r="K261" s="754" t="s">
        <v>224</v>
      </c>
      <c r="L261" s="755"/>
      <c r="M261" s="755"/>
      <c r="N261" s="755"/>
      <c r="O261" s="755"/>
      <c r="P261" s="754"/>
    </row>
    <row r="262" spans="1:16" ht="26.55" customHeight="1">
      <c r="A262" s="749" t="s">
        <v>392</v>
      </c>
      <c r="B262" s="790" t="s">
        <v>644</v>
      </c>
      <c r="C262" s="790" t="s">
        <v>645</v>
      </c>
      <c r="D262" s="791">
        <f>'[2]总投资-发采购-0411-GLP拆分场外费用(司调)'!G301</f>
        <v>20000</v>
      </c>
      <c r="E262" s="792">
        <f t="shared" si="15"/>
        <v>2812.939521800281</v>
      </c>
      <c r="F262" s="940">
        <v>1</v>
      </c>
      <c r="G262" s="792">
        <f t="shared" si="16"/>
        <v>20000</v>
      </c>
      <c r="H262" s="749" t="s">
        <v>543</v>
      </c>
      <c r="I262" s="749" t="s">
        <v>30</v>
      </c>
      <c r="J262" s="749">
        <v>12</v>
      </c>
      <c r="K262" s="754" t="s">
        <v>31</v>
      </c>
      <c r="L262" s="755" t="s">
        <v>369</v>
      </c>
      <c r="M262" s="755" t="s">
        <v>395</v>
      </c>
      <c r="N262" s="755" t="s">
        <v>337</v>
      </c>
      <c r="O262" s="755" t="s">
        <v>396</v>
      </c>
      <c r="P262" s="754" t="s">
        <v>646</v>
      </c>
    </row>
    <row r="263" spans="1:16" ht="57" customHeight="1">
      <c r="A263" s="749" t="s">
        <v>58</v>
      </c>
      <c r="B263" s="790" t="s">
        <v>647</v>
      </c>
      <c r="C263" s="790" t="s">
        <v>648</v>
      </c>
      <c r="D263" s="792">
        <f>SUM('[2]总投资-发采购-0411-GLP拆分场外费用(司调)'!G281,'[2]总投资-发采购-0411-GLP拆分场外费用(司调)'!G282,'[2]总投资-发采购-0411-GLP拆分场外费用(司调)'!G283,'[2]总投资-发采购-0411-GLP拆分场外费用(司调)'!G284,'[2]总投资-发采购-0411-GLP拆分场外费用(司调)'!G285,'[2]总投资-发采购-0411-GLP拆分场外费用(司调)'!G286,'[2]总投资-发采购-0411-GLP拆分场外费用(司调)'!G275,'[2]总投资-发采购-0411-GLP拆分场外费用(司调)'!G276,'[2]总投资-发采购-0411-GLP拆分场外费用(司调)'!G277,'[2]总投资-发采购-0411-GLP拆分场外费用(司调)'!G278,'[2]总投资-发采购-0411-GLP拆分场外费用(司调)'!G279)</f>
        <v>5413.5454999999993</v>
      </c>
      <c r="E263" s="792">
        <f t="shared" si="15"/>
        <v>761.39880450070314</v>
      </c>
      <c r="F263" s="940">
        <v>1</v>
      </c>
      <c r="G263" s="792">
        <f t="shared" ref="G263:G311" si="17">D263</f>
        <v>5413.5454999999993</v>
      </c>
      <c r="H263" s="749" t="s">
        <v>61</v>
      </c>
      <c r="I263" s="749" t="s">
        <v>30</v>
      </c>
      <c r="J263" s="749">
        <v>12</v>
      </c>
      <c r="K263" s="754" t="s">
        <v>31</v>
      </c>
      <c r="L263" s="755" t="s">
        <v>369</v>
      </c>
      <c r="M263" s="755" t="s">
        <v>337</v>
      </c>
      <c r="N263" s="755" t="s">
        <v>337</v>
      </c>
      <c r="O263" s="755" t="s">
        <v>293</v>
      </c>
      <c r="P263" s="754" t="s">
        <v>649</v>
      </c>
    </row>
    <row r="264" spans="1:16" hidden="1">
      <c r="A264" s="946" t="s">
        <v>403</v>
      </c>
      <c r="B264" s="942" t="s">
        <v>404</v>
      </c>
      <c r="C264" s="790">
        <f>'[2]总投资-发采购-0411-GLP拆分场外费用(司调)'!H281</f>
        <v>11022</v>
      </c>
      <c r="D264" s="945">
        <f>'[2]总投资-发采购-0411-GLP拆分场外费用(司调)'!G281</f>
        <v>363.67649999999998</v>
      </c>
      <c r="E264" s="945">
        <f t="shared" si="15"/>
        <v>51.149999999999991</v>
      </c>
      <c r="F264" s="945">
        <f>D264</f>
        <v>363.67649999999998</v>
      </c>
      <c r="G264" s="945">
        <f>E264</f>
        <v>51.149999999999991</v>
      </c>
      <c r="H264" s="749"/>
      <c r="I264" s="749"/>
      <c r="J264" s="749"/>
      <c r="K264" s="754"/>
      <c r="L264" s="755"/>
      <c r="M264" s="738"/>
      <c r="N264" s="738"/>
      <c r="O264" s="738"/>
      <c r="P264" s="697"/>
    </row>
    <row r="265" spans="1:16" hidden="1">
      <c r="A265" s="946" t="s">
        <v>405</v>
      </c>
      <c r="B265" s="942" t="s">
        <v>406</v>
      </c>
      <c r="C265" s="790">
        <f>'[2]总投资-发采购-0411-GLP拆分场外费用(司调)'!H282</f>
        <v>11707</v>
      </c>
      <c r="D265" s="945">
        <f>'[2]总投资-发采购-0411-GLP拆分场外费用(司调)'!G282</f>
        <v>386.1825</v>
      </c>
      <c r="E265" s="945">
        <f t="shared" ref="E265:E275" si="18">D265/$A$3</f>
        <v>54.315400843881854</v>
      </c>
      <c r="F265" s="945">
        <f t="shared" ref="F265:G274" si="19">D265</f>
        <v>386.1825</v>
      </c>
      <c r="G265" s="945">
        <f t="shared" si="19"/>
        <v>54.315400843881854</v>
      </c>
      <c r="H265" s="749"/>
      <c r="I265" s="749"/>
      <c r="J265" s="749"/>
      <c r="K265" s="754"/>
      <c r="L265" s="755"/>
      <c r="M265" s="738"/>
      <c r="N265" s="738"/>
      <c r="O265" s="738"/>
      <c r="P265" s="697"/>
    </row>
    <row r="266" spans="1:16" hidden="1">
      <c r="A266" s="946" t="s">
        <v>407</v>
      </c>
      <c r="B266" s="942" t="s">
        <v>408</v>
      </c>
      <c r="C266" s="790">
        <f>'[2]总投资-发采购-0411-GLP拆分场外费用(司调)'!H283</f>
        <v>11707</v>
      </c>
      <c r="D266" s="945">
        <f>'[2]总投资-发采购-0411-GLP拆分场外费用(司调)'!G283</f>
        <v>386.1825</v>
      </c>
      <c r="E266" s="945">
        <f t="shared" si="18"/>
        <v>54.315400843881854</v>
      </c>
      <c r="F266" s="945">
        <f t="shared" si="19"/>
        <v>386.1825</v>
      </c>
      <c r="G266" s="945">
        <f t="shared" si="19"/>
        <v>54.315400843881854</v>
      </c>
      <c r="H266" s="749"/>
      <c r="I266" s="749"/>
      <c r="J266" s="749"/>
      <c r="K266" s="754"/>
      <c r="L266" s="755"/>
      <c r="M266" s="738"/>
      <c r="N266" s="738"/>
      <c r="O266" s="738"/>
      <c r="P266" s="697"/>
    </row>
    <row r="267" spans="1:16" hidden="1">
      <c r="A267" s="946" t="s">
        <v>409</v>
      </c>
      <c r="B267" s="942" t="s">
        <v>410</v>
      </c>
      <c r="C267" s="790">
        <f>'[2]总投资-发采购-0411-GLP拆分场外费用(司调)'!H284</f>
        <v>11707</v>
      </c>
      <c r="D267" s="945">
        <f>'[2]总投资-发采购-0411-GLP拆分场外费用(司调)'!G284</f>
        <v>386.1825</v>
      </c>
      <c r="E267" s="945">
        <f t="shared" si="18"/>
        <v>54.315400843881854</v>
      </c>
      <c r="F267" s="945">
        <f t="shared" si="19"/>
        <v>386.1825</v>
      </c>
      <c r="G267" s="945">
        <f t="shared" si="19"/>
        <v>54.315400843881854</v>
      </c>
      <c r="H267" s="749"/>
      <c r="I267" s="749"/>
      <c r="J267" s="749"/>
      <c r="K267" s="754"/>
      <c r="L267" s="755"/>
      <c r="M267" s="738"/>
      <c r="N267" s="738"/>
      <c r="O267" s="738"/>
      <c r="P267" s="697"/>
    </row>
    <row r="268" spans="1:16" hidden="1">
      <c r="A268" s="946" t="s">
        <v>411</v>
      </c>
      <c r="B268" s="942" t="s">
        <v>412</v>
      </c>
      <c r="C268" s="790">
        <f>'[2]总投资-发采购-0411-GLP拆分场外费用(司调)'!H285</f>
        <v>18327</v>
      </c>
      <c r="D268" s="945">
        <f>'[2]总投资-发采购-0411-GLP拆分场外费用(司调)'!G285</f>
        <v>604.76350000000002</v>
      </c>
      <c r="E268" s="945">
        <f t="shared" si="18"/>
        <v>85.058157524613222</v>
      </c>
      <c r="F268" s="945">
        <f t="shared" si="19"/>
        <v>604.76350000000002</v>
      </c>
      <c r="G268" s="945">
        <f t="shared" si="19"/>
        <v>85.058157524613222</v>
      </c>
      <c r="H268" s="749"/>
      <c r="I268" s="749"/>
      <c r="J268" s="749"/>
      <c r="K268" s="754"/>
      <c r="L268" s="755"/>
      <c r="M268" s="738"/>
      <c r="N268" s="738"/>
      <c r="O268" s="738"/>
      <c r="P268" s="697"/>
    </row>
    <row r="269" spans="1:16" hidden="1">
      <c r="A269" s="946" t="s">
        <v>413</v>
      </c>
      <c r="B269" s="942" t="s">
        <v>414</v>
      </c>
      <c r="C269" s="790">
        <f>'[2]总投资-发采购-0411-GLP拆分场外费用(司调)'!H286</f>
        <v>11664</v>
      </c>
      <c r="D269" s="945">
        <f>'[2]总投资-发采购-0411-GLP拆分场外费用(司调)'!G286</f>
        <v>384.81849999999997</v>
      </c>
      <c r="E269" s="945">
        <f t="shared" si="18"/>
        <v>54.123558368495068</v>
      </c>
      <c r="F269" s="945">
        <f t="shared" si="19"/>
        <v>384.81849999999997</v>
      </c>
      <c r="G269" s="945">
        <f t="shared" si="19"/>
        <v>54.123558368495068</v>
      </c>
      <c r="H269" s="749"/>
      <c r="I269" s="749"/>
      <c r="J269" s="749"/>
      <c r="K269" s="754"/>
      <c r="L269" s="755"/>
      <c r="M269" s="738"/>
      <c r="N269" s="738"/>
      <c r="O269" s="738"/>
      <c r="P269" s="697"/>
    </row>
    <row r="270" spans="1:16" hidden="1">
      <c r="A270" s="946" t="s">
        <v>415</v>
      </c>
      <c r="B270" s="942" t="s">
        <v>416</v>
      </c>
      <c r="C270" s="790">
        <f>'[2]总投资-发采购-0411-GLP拆分场外费用(司调)'!H275</f>
        <v>16128</v>
      </c>
      <c r="D270" s="945">
        <f>'[2]总投资-发采购-0411-GLP拆分场外费用(司调)'!G275</f>
        <v>532.13049999999998</v>
      </c>
      <c r="E270" s="945">
        <f t="shared" si="18"/>
        <v>74.842545710267217</v>
      </c>
      <c r="F270" s="945">
        <f t="shared" si="19"/>
        <v>532.13049999999998</v>
      </c>
      <c r="G270" s="945">
        <f t="shared" si="19"/>
        <v>74.842545710267217</v>
      </c>
      <c r="H270" s="749"/>
      <c r="I270" s="749"/>
      <c r="J270" s="749"/>
      <c r="K270" s="754"/>
      <c r="L270" s="755"/>
      <c r="M270" s="738"/>
      <c r="N270" s="738"/>
      <c r="O270" s="738"/>
      <c r="P270" s="697"/>
    </row>
    <row r="271" spans="1:16" hidden="1">
      <c r="A271" s="946" t="s">
        <v>417</v>
      </c>
      <c r="B271" s="942" t="s">
        <v>418</v>
      </c>
      <c r="C271" s="790">
        <f>'[2]总投资-发采购-0411-GLP拆分场外费用(司调)'!H276</f>
        <v>18768</v>
      </c>
      <c r="D271" s="945">
        <f>'[2]总投资-发采购-0411-GLP拆分场外费用(司调)'!G276</f>
        <v>619.25599999999997</v>
      </c>
      <c r="E271" s="945">
        <f t="shared" si="18"/>
        <v>87.096483825597744</v>
      </c>
      <c r="F271" s="945">
        <f t="shared" si="19"/>
        <v>619.25599999999997</v>
      </c>
      <c r="G271" s="945">
        <f t="shared" si="19"/>
        <v>87.096483825597744</v>
      </c>
      <c r="H271" s="749"/>
      <c r="I271" s="749"/>
      <c r="J271" s="749"/>
      <c r="K271" s="754"/>
      <c r="L271" s="755"/>
      <c r="M271" s="738"/>
      <c r="N271" s="738"/>
      <c r="O271" s="738"/>
      <c r="P271" s="697"/>
    </row>
    <row r="272" spans="1:16" hidden="1">
      <c r="A272" s="946" t="s">
        <v>419</v>
      </c>
      <c r="B272" s="942" t="s">
        <v>420</v>
      </c>
      <c r="C272" s="790">
        <f>'[2]总投资-发采购-0411-GLP拆分场外费用(司调)'!H277</f>
        <v>18768</v>
      </c>
      <c r="D272" s="945">
        <f>'[2]总投资-发采购-0411-GLP拆分场外费用(司调)'!G277</f>
        <v>619.25599999999997</v>
      </c>
      <c r="E272" s="945">
        <f t="shared" si="18"/>
        <v>87.096483825597744</v>
      </c>
      <c r="F272" s="945">
        <f t="shared" si="19"/>
        <v>619.25599999999997</v>
      </c>
      <c r="G272" s="945">
        <f t="shared" si="19"/>
        <v>87.096483825597744</v>
      </c>
      <c r="H272" s="749"/>
      <c r="I272" s="749"/>
      <c r="J272" s="749"/>
      <c r="K272" s="754"/>
      <c r="L272" s="755"/>
      <c r="M272" s="738"/>
      <c r="N272" s="738"/>
      <c r="O272" s="738"/>
      <c r="P272" s="697"/>
    </row>
    <row r="273" spans="1:16" hidden="1">
      <c r="A273" s="946" t="s">
        <v>421</v>
      </c>
      <c r="B273" s="942" t="s">
        <v>422</v>
      </c>
      <c r="C273" s="790">
        <f>'[2]总投资-发采购-0411-GLP拆分场外费用(司调)'!H278</f>
        <v>17136</v>
      </c>
      <c r="D273" s="945">
        <f>'[2]总投资-发采购-0411-GLP拆分场外费用(司调)'!G278</f>
        <v>565.54849999999999</v>
      </c>
      <c r="E273" s="945">
        <f t="shared" si="18"/>
        <v>79.542686357243312</v>
      </c>
      <c r="F273" s="945">
        <f t="shared" si="19"/>
        <v>565.54849999999999</v>
      </c>
      <c r="G273" s="945">
        <f t="shared" si="19"/>
        <v>79.542686357243312</v>
      </c>
      <c r="H273" s="749"/>
      <c r="I273" s="749"/>
      <c r="J273" s="749"/>
      <c r="K273" s="754"/>
      <c r="L273" s="755"/>
      <c r="M273" s="738"/>
      <c r="N273" s="738"/>
      <c r="O273" s="738"/>
      <c r="P273" s="697"/>
    </row>
    <row r="274" spans="1:16" hidden="1">
      <c r="A274" s="946" t="s">
        <v>423</v>
      </c>
      <c r="B274" s="942" t="s">
        <v>424</v>
      </c>
      <c r="C274" s="790">
        <f>'[2]总投资-发采购-0411-GLP拆分场外费用(司调)'!H279</f>
        <v>17136</v>
      </c>
      <c r="D274" s="945">
        <f>'[2]总投资-发采购-0411-GLP拆分场外费用(司调)'!G279</f>
        <v>565.54849999999999</v>
      </c>
      <c r="E274" s="945">
        <f t="shared" si="18"/>
        <v>79.542686357243312</v>
      </c>
      <c r="F274" s="945">
        <f t="shared" si="19"/>
        <v>565.54849999999999</v>
      </c>
      <c r="G274" s="945">
        <f t="shared" si="19"/>
        <v>79.542686357243312</v>
      </c>
      <c r="H274" s="749"/>
      <c r="I274" s="749"/>
      <c r="J274" s="749"/>
      <c r="K274" s="754"/>
      <c r="L274" s="755"/>
      <c r="M274" s="738"/>
      <c r="N274" s="738"/>
      <c r="O274" s="738"/>
      <c r="P274" s="697"/>
    </row>
    <row r="275" spans="1:16" ht="44.55" customHeight="1">
      <c r="A275" s="606" t="s">
        <v>63</v>
      </c>
      <c r="B275" s="709" t="s">
        <v>650</v>
      </c>
      <c r="C275" s="709" t="s">
        <v>651</v>
      </c>
      <c r="D275" s="712">
        <f>SUM('[2]总投资-发采购-0411-GLP拆分场外费用(司调)'!G260:G274,'[2]总投资-发采购-0411-GLP拆分场外费用(司调)'!G280)</f>
        <v>6823.4099999999989</v>
      </c>
      <c r="E275" s="712">
        <f t="shared" si="18"/>
        <v>959.69198312236267</v>
      </c>
      <c r="F275" s="920">
        <v>1</v>
      </c>
      <c r="G275" s="712">
        <f t="shared" si="17"/>
        <v>6823.4099999999989</v>
      </c>
      <c r="H275" s="606" t="s">
        <v>61</v>
      </c>
      <c r="I275" s="606" t="s">
        <v>30</v>
      </c>
      <c r="J275" s="606">
        <v>42</v>
      </c>
      <c r="K275" s="697" t="s">
        <v>31</v>
      </c>
      <c r="L275" s="738" t="s">
        <v>181</v>
      </c>
      <c r="M275" s="738" t="s">
        <v>428</v>
      </c>
      <c r="N275" s="738" t="s">
        <v>429</v>
      </c>
      <c r="O275" s="738" t="s">
        <v>228</v>
      </c>
      <c r="P275" s="697"/>
    </row>
    <row r="276" spans="1:16" hidden="1">
      <c r="A276" s="921">
        <v>4.0999999999999996</v>
      </c>
      <c r="B276" s="922" t="s">
        <v>430</v>
      </c>
      <c r="C276" s="922" t="s">
        <v>431</v>
      </c>
      <c r="D276" s="924">
        <f>[2]总投资20240410!F327</f>
        <v>12236.96</v>
      </c>
      <c r="E276" s="712">
        <f t="shared" ref="E276:E308" si="20">D276/$A$3</f>
        <v>1721.0914205344584</v>
      </c>
      <c r="F276" s="920">
        <v>1</v>
      </c>
      <c r="G276" s="712">
        <f t="shared" si="17"/>
        <v>12236.96</v>
      </c>
      <c r="H276" s="606" t="s">
        <v>61</v>
      </c>
      <c r="I276" s="606"/>
      <c r="J276" s="606"/>
      <c r="K276" s="697" t="s">
        <v>544</v>
      </c>
      <c r="L276" s="738"/>
      <c r="M276" s="738"/>
      <c r="N276" s="738"/>
      <c r="O276" s="738"/>
      <c r="P276" s="697"/>
    </row>
    <row r="277" spans="1:16" hidden="1">
      <c r="A277" s="921"/>
      <c r="B277" s="948" t="s">
        <v>432</v>
      </c>
      <c r="C277" s="948">
        <f>SUM(C278:C292)</f>
        <v>196714.11</v>
      </c>
      <c r="D277" s="937">
        <f>SUM(D278:D293)</f>
        <v>6823.414499999999</v>
      </c>
      <c r="E277" s="712">
        <f t="shared" si="20"/>
        <v>959.69261603375503</v>
      </c>
      <c r="F277" s="920">
        <v>1</v>
      </c>
      <c r="G277" s="712">
        <f t="shared" si="17"/>
        <v>6823.414499999999</v>
      </c>
      <c r="H277" s="606" t="s">
        <v>61</v>
      </c>
      <c r="I277" s="606"/>
      <c r="J277" s="606"/>
      <c r="K277" s="697" t="s">
        <v>544</v>
      </c>
      <c r="L277" s="738"/>
      <c r="M277" s="738"/>
      <c r="N277" s="738"/>
      <c r="O277" s="738"/>
      <c r="P277" s="697"/>
    </row>
    <row r="278" spans="1:16" hidden="1">
      <c r="A278" s="921" t="s">
        <v>433</v>
      </c>
      <c r="B278" s="922" t="s">
        <v>434</v>
      </c>
      <c r="C278" s="922">
        <v>5226.66</v>
      </c>
      <c r="D278" s="924">
        <f>'[2]总投资-发采购-0411-GLP拆分场外费用(司调)'!G260</f>
        <v>172.37549999999999</v>
      </c>
      <c r="E278" s="712">
        <f t="shared" si="20"/>
        <v>24.244092827004216</v>
      </c>
      <c r="F278" s="920">
        <v>1</v>
      </c>
      <c r="G278" s="712">
        <f t="shared" si="17"/>
        <v>172.37549999999999</v>
      </c>
      <c r="H278" s="606" t="s">
        <v>61</v>
      </c>
      <c r="I278" s="606"/>
      <c r="J278" s="606"/>
      <c r="K278" s="697" t="s">
        <v>544</v>
      </c>
      <c r="L278" s="738"/>
      <c r="M278" s="738"/>
      <c r="N278" s="738"/>
      <c r="O278" s="738"/>
      <c r="P278" s="697"/>
    </row>
    <row r="279" spans="1:16" hidden="1">
      <c r="A279" s="921" t="s">
        <v>435</v>
      </c>
      <c r="B279" s="922" t="s">
        <v>436</v>
      </c>
      <c r="C279" s="922">
        <v>4929.0200000000004</v>
      </c>
      <c r="D279" s="924">
        <f>'[2]总投资-发采购-0411-GLP拆分场外费用(司调)'!G261</f>
        <v>162.65700000000001</v>
      </c>
      <c r="E279" s="712">
        <f t="shared" si="20"/>
        <v>22.877215189873418</v>
      </c>
      <c r="F279" s="920">
        <v>1</v>
      </c>
      <c r="G279" s="712">
        <f t="shared" si="17"/>
        <v>162.65700000000001</v>
      </c>
      <c r="H279" s="606" t="s">
        <v>61</v>
      </c>
      <c r="I279" s="606"/>
      <c r="J279" s="606"/>
      <c r="K279" s="697" t="s">
        <v>544</v>
      </c>
      <c r="L279" s="738"/>
      <c r="M279" s="738"/>
      <c r="N279" s="738"/>
      <c r="O279" s="738"/>
      <c r="P279" s="697"/>
    </row>
    <row r="280" spans="1:16" hidden="1">
      <c r="A280" s="921" t="s">
        <v>437</v>
      </c>
      <c r="B280" s="922" t="s">
        <v>438</v>
      </c>
      <c r="C280" s="922">
        <v>13104</v>
      </c>
      <c r="D280" s="924">
        <f>'[2]总投资-发采购-0411-GLP拆分场外费用(司调)'!G262</f>
        <v>432.38799999999998</v>
      </c>
      <c r="E280" s="712">
        <f t="shared" si="20"/>
        <v>60.814064697608998</v>
      </c>
      <c r="F280" s="920">
        <v>1</v>
      </c>
      <c r="G280" s="712">
        <f t="shared" si="17"/>
        <v>432.38799999999998</v>
      </c>
      <c r="H280" s="606" t="s">
        <v>61</v>
      </c>
      <c r="I280" s="606"/>
      <c r="J280" s="606"/>
      <c r="K280" s="697" t="s">
        <v>544</v>
      </c>
      <c r="L280" s="738"/>
      <c r="M280" s="738"/>
      <c r="N280" s="738"/>
      <c r="O280" s="738"/>
      <c r="P280" s="697"/>
    </row>
    <row r="281" spans="1:16" hidden="1">
      <c r="A281" s="921" t="s">
        <v>439</v>
      </c>
      <c r="B281" s="922" t="s">
        <v>440</v>
      </c>
      <c r="C281" s="922">
        <v>13104</v>
      </c>
      <c r="D281" s="924">
        <f>'[2]总投资-发采购-0411-GLP拆分场外费用(司调)'!G263</f>
        <v>432.38799999999998</v>
      </c>
      <c r="E281" s="712">
        <f t="shared" si="20"/>
        <v>60.814064697608998</v>
      </c>
      <c r="F281" s="920">
        <v>1</v>
      </c>
      <c r="G281" s="712">
        <f t="shared" si="17"/>
        <v>432.38799999999998</v>
      </c>
      <c r="H281" s="606" t="s">
        <v>61</v>
      </c>
      <c r="I281" s="606"/>
      <c r="J281" s="606"/>
      <c r="K281" s="697" t="s">
        <v>544</v>
      </c>
      <c r="L281" s="738"/>
      <c r="M281" s="738"/>
      <c r="N281" s="738"/>
      <c r="O281" s="738"/>
      <c r="P281" s="697"/>
    </row>
    <row r="282" spans="1:16" hidden="1">
      <c r="A282" s="921" t="s">
        <v>441</v>
      </c>
      <c r="B282" s="922" t="s">
        <v>442</v>
      </c>
      <c r="C282" s="922">
        <v>13104</v>
      </c>
      <c r="D282" s="924">
        <f>'[2]总投资-发采购-0411-GLP拆分场外费用(司调)'!G264</f>
        <v>432.38799999999998</v>
      </c>
      <c r="E282" s="712">
        <f t="shared" si="20"/>
        <v>60.814064697608998</v>
      </c>
      <c r="F282" s="920">
        <v>1</v>
      </c>
      <c r="G282" s="712">
        <f t="shared" si="17"/>
        <v>432.38799999999998</v>
      </c>
      <c r="H282" s="606" t="s">
        <v>61</v>
      </c>
      <c r="I282" s="606"/>
      <c r="J282" s="606"/>
      <c r="K282" s="697" t="s">
        <v>544</v>
      </c>
      <c r="L282" s="738"/>
      <c r="M282" s="738"/>
      <c r="N282" s="738"/>
      <c r="O282" s="738"/>
      <c r="P282" s="697"/>
    </row>
    <row r="283" spans="1:16" hidden="1">
      <c r="A283" s="921" t="s">
        <v>443</v>
      </c>
      <c r="B283" s="922" t="s">
        <v>444</v>
      </c>
      <c r="C283" s="922">
        <v>13104</v>
      </c>
      <c r="D283" s="924">
        <f>'[2]总投资-发采购-0411-GLP拆分场外费用(司调)'!G265</f>
        <v>432.38799999999998</v>
      </c>
      <c r="E283" s="712">
        <f t="shared" si="20"/>
        <v>60.814064697608998</v>
      </c>
      <c r="F283" s="920">
        <v>1</v>
      </c>
      <c r="G283" s="712">
        <f t="shared" si="17"/>
        <v>432.38799999999998</v>
      </c>
      <c r="H283" s="606" t="s">
        <v>61</v>
      </c>
      <c r="I283" s="606"/>
      <c r="J283" s="606"/>
      <c r="K283" s="697" t="s">
        <v>544</v>
      </c>
      <c r="L283" s="738"/>
      <c r="M283" s="738"/>
      <c r="N283" s="738"/>
      <c r="O283" s="738"/>
      <c r="P283" s="697"/>
    </row>
    <row r="284" spans="1:16" hidden="1">
      <c r="A284" s="921" t="s">
        <v>445</v>
      </c>
      <c r="B284" s="922" t="s">
        <v>446</v>
      </c>
      <c r="C284" s="922">
        <v>13104</v>
      </c>
      <c r="D284" s="924">
        <f>'[2]总投资-发采购-0411-GLP拆分场外费用(司调)'!G266</f>
        <v>432.38799999999998</v>
      </c>
      <c r="E284" s="712">
        <f t="shared" si="20"/>
        <v>60.814064697608998</v>
      </c>
      <c r="F284" s="920">
        <v>1</v>
      </c>
      <c r="G284" s="712">
        <f t="shared" si="17"/>
        <v>432.38799999999998</v>
      </c>
      <c r="H284" s="606" t="s">
        <v>61</v>
      </c>
      <c r="I284" s="606"/>
      <c r="J284" s="606"/>
      <c r="K284" s="697" t="s">
        <v>544</v>
      </c>
      <c r="L284" s="738"/>
      <c r="M284" s="738"/>
      <c r="N284" s="738"/>
      <c r="O284" s="738"/>
      <c r="P284" s="697"/>
    </row>
    <row r="285" spans="1:16" hidden="1">
      <c r="A285" s="921" t="s">
        <v>447</v>
      </c>
      <c r="B285" s="922" t="s">
        <v>448</v>
      </c>
      <c r="C285" s="922">
        <v>15120</v>
      </c>
      <c r="D285" s="924">
        <f>'[2]总投资-发采购-0411-GLP拆分场外费用(司调)'!G267</f>
        <v>498.88299999999998</v>
      </c>
      <c r="E285" s="712">
        <f t="shared" si="20"/>
        <v>70.166385372714487</v>
      </c>
      <c r="F285" s="920">
        <v>1</v>
      </c>
      <c r="G285" s="712">
        <f t="shared" si="17"/>
        <v>498.88299999999998</v>
      </c>
      <c r="H285" s="606" t="s">
        <v>61</v>
      </c>
      <c r="I285" s="606"/>
      <c r="J285" s="606"/>
      <c r="K285" s="697" t="s">
        <v>544</v>
      </c>
      <c r="L285" s="738"/>
      <c r="M285" s="738"/>
      <c r="N285" s="738"/>
      <c r="O285" s="738"/>
      <c r="P285" s="697"/>
    </row>
    <row r="286" spans="1:16" hidden="1">
      <c r="A286" s="921" t="s">
        <v>449</v>
      </c>
      <c r="B286" s="922" t="s">
        <v>450</v>
      </c>
      <c r="C286" s="922">
        <v>15120</v>
      </c>
      <c r="D286" s="924">
        <f>'[2]总投资-发采购-0411-GLP拆分场外费用(司调)'!G268</f>
        <v>498.88299999999998</v>
      </c>
      <c r="E286" s="712">
        <f t="shared" si="20"/>
        <v>70.166385372714487</v>
      </c>
      <c r="F286" s="920">
        <v>1</v>
      </c>
      <c r="G286" s="712">
        <f t="shared" si="17"/>
        <v>498.88299999999998</v>
      </c>
      <c r="H286" s="606" t="s">
        <v>61</v>
      </c>
      <c r="I286" s="606"/>
      <c r="J286" s="606"/>
      <c r="K286" s="697" t="s">
        <v>544</v>
      </c>
      <c r="L286" s="738"/>
      <c r="M286" s="738"/>
      <c r="N286" s="738"/>
      <c r="O286" s="738"/>
      <c r="P286" s="697"/>
    </row>
    <row r="287" spans="1:16" hidden="1">
      <c r="A287" s="921" t="s">
        <v>451</v>
      </c>
      <c r="B287" s="922" t="s">
        <v>452</v>
      </c>
      <c r="C287" s="922">
        <v>15120</v>
      </c>
      <c r="D287" s="924">
        <f>'[2]总投资-发采购-0411-GLP拆分场外费用(司调)'!G269</f>
        <v>498.88299999999998</v>
      </c>
      <c r="E287" s="712">
        <f t="shared" si="20"/>
        <v>70.166385372714487</v>
      </c>
      <c r="F287" s="920">
        <v>1</v>
      </c>
      <c r="G287" s="712">
        <f t="shared" si="17"/>
        <v>498.88299999999998</v>
      </c>
      <c r="H287" s="606" t="s">
        <v>61</v>
      </c>
      <c r="I287" s="606"/>
      <c r="J287" s="606"/>
      <c r="K287" s="697" t="s">
        <v>544</v>
      </c>
      <c r="L287" s="738"/>
      <c r="M287" s="738"/>
      <c r="N287" s="738"/>
      <c r="O287" s="738"/>
      <c r="P287" s="697"/>
    </row>
    <row r="288" spans="1:16" hidden="1">
      <c r="A288" s="921" t="s">
        <v>453</v>
      </c>
      <c r="B288" s="922" t="s">
        <v>454</v>
      </c>
      <c r="C288" s="922">
        <v>15120</v>
      </c>
      <c r="D288" s="924">
        <f>'[2]总投资-发采购-0411-GLP拆分场外费用(司调)'!G270</f>
        <v>498.88299999999998</v>
      </c>
      <c r="E288" s="712">
        <f t="shared" si="20"/>
        <v>70.166385372714487</v>
      </c>
      <c r="F288" s="920">
        <v>1</v>
      </c>
      <c r="G288" s="712">
        <f t="shared" si="17"/>
        <v>498.88299999999998</v>
      </c>
      <c r="H288" s="606" t="s">
        <v>61</v>
      </c>
      <c r="I288" s="606"/>
      <c r="J288" s="606"/>
      <c r="K288" s="697" t="s">
        <v>544</v>
      </c>
      <c r="L288" s="738"/>
      <c r="M288" s="738"/>
      <c r="N288" s="738"/>
      <c r="O288" s="738"/>
      <c r="P288" s="697"/>
    </row>
    <row r="289" spans="1:16" hidden="1">
      <c r="A289" s="921" t="s">
        <v>455</v>
      </c>
      <c r="B289" s="922" t="s">
        <v>456</v>
      </c>
      <c r="C289" s="922">
        <v>10800</v>
      </c>
      <c r="D289" s="924">
        <f>'[2]总投资-发采购-0411-GLP拆分场外费用(司调)'!G271</f>
        <v>356.34500000000003</v>
      </c>
      <c r="E289" s="712">
        <f t="shared" si="20"/>
        <v>50.118846694796062</v>
      </c>
      <c r="F289" s="920">
        <v>1</v>
      </c>
      <c r="G289" s="712">
        <f t="shared" si="17"/>
        <v>356.34500000000003</v>
      </c>
      <c r="H289" s="606" t="s">
        <v>61</v>
      </c>
      <c r="I289" s="606"/>
      <c r="J289" s="606"/>
      <c r="K289" s="697" t="s">
        <v>544</v>
      </c>
      <c r="L289" s="738"/>
      <c r="M289" s="738"/>
      <c r="N289" s="738"/>
      <c r="O289" s="738"/>
      <c r="P289" s="697"/>
    </row>
    <row r="290" spans="1:16" hidden="1">
      <c r="A290" s="921" t="s">
        <v>457</v>
      </c>
      <c r="B290" s="922" t="s">
        <v>458</v>
      </c>
      <c r="C290" s="922">
        <v>9360</v>
      </c>
      <c r="D290" s="924">
        <f>'[2]总投资-发采购-0411-GLP拆分场外费用(司调)'!G272</f>
        <v>308.77550000000002</v>
      </c>
      <c r="E290" s="712">
        <f t="shared" si="20"/>
        <v>43.428340365682139</v>
      </c>
      <c r="F290" s="920">
        <v>1</v>
      </c>
      <c r="G290" s="712">
        <f t="shared" si="17"/>
        <v>308.77550000000002</v>
      </c>
      <c r="H290" s="606" t="s">
        <v>61</v>
      </c>
      <c r="I290" s="606"/>
      <c r="J290" s="606"/>
      <c r="K290" s="697" t="s">
        <v>544</v>
      </c>
      <c r="L290" s="738"/>
      <c r="M290" s="738"/>
      <c r="N290" s="738"/>
      <c r="O290" s="738"/>
      <c r="P290" s="697"/>
    </row>
    <row r="291" spans="1:16" hidden="1">
      <c r="A291" s="921" t="s">
        <v>459</v>
      </c>
      <c r="B291" s="922" t="s">
        <v>460</v>
      </c>
      <c r="C291" s="922">
        <v>17136</v>
      </c>
      <c r="D291" s="924">
        <f>'[2]总投资-发采购-0411-GLP拆分场外费用(司调)'!G273</f>
        <v>565.54849999999999</v>
      </c>
      <c r="E291" s="712">
        <f t="shared" si="20"/>
        <v>79.542686357243312</v>
      </c>
      <c r="F291" s="920">
        <v>1</v>
      </c>
      <c r="G291" s="712">
        <f t="shared" si="17"/>
        <v>565.54849999999999</v>
      </c>
      <c r="H291" s="606" t="s">
        <v>61</v>
      </c>
      <c r="I291" s="606"/>
      <c r="J291" s="606"/>
      <c r="K291" s="697" t="s">
        <v>544</v>
      </c>
      <c r="L291" s="738"/>
      <c r="M291" s="738"/>
      <c r="N291" s="738"/>
      <c r="O291" s="738"/>
      <c r="P291" s="697"/>
    </row>
    <row r="292" spans="1:16" hidden="1">
      <c r="A292" s="921" t="s">
        <v>461</v>
      </c>
      <c r="B292" s="922" t="s">
        <v>462</v>
      </c>
      <c r="C292" s="922">
        <v>23262.43</v>
      </c>
      <c r="D292" s="924">
        <f>'[2]总投资-发采购-0411-GLP拆分场外费用(司调)'!G274</f>
        <v>767.59100000000001</v>
      </c>
      <c r="E292" s="712">
        <f t="shared" si="20"/>
        <v>107.95935302390998</v>
      </c>
      <c r="F292" s="920">
        <v>1</v>
      </c>
      <c r="G292" s="712">
        <f t="shared" si="17"/>
        <v>767.59100000000001</v>
      </c>
      <c r="H292" s="606" t="s">
        <v>61</v>
      </c>
      <c r="I292" s="606"/>
      <c r="J292" s="606"/>
      <c r="K292" s="697" t="s">
        <v>544</v>
      </c>
      <c r="L292" s="738"/>
      <c r="M292" s="738"/>
      <c r="N292" s="738"/>
      <c r="O292" s="738"/>
      <c r="P292" s="697"/>
    </row>
    <row r="293" spans="1:16" hidden="1">
      <c r="A293" s="921" t="s">
        <v>463</v>
      </c>
      <c r="B293" s="922" t="s">
        <v>464</v>
      </c>
      <c r="C293" s="922">
        <v>10080</v>
      </c>
      <c r="D293" s="924">
        <v>332.65</v>
      </c>
      <c r="E293" s="712">
        <f t="shared" si="20"/>
        <v>46.786216596343174</v>
      </c>
      <c r="F293" s="920">
        <v>1</v>
      </c>
      <c r="G293" s="712">
        <f t="shared" si="17"/>
        <v>332.65</v>
      </c>
      <c r="H293" s="606" t="s">
        <v>61</v>
      </c>
      <c r="I293" s="606"/>
      <c r="J293" s="606"/>
      <c r="K293" s="697" t="s">
        <v>544</v>
      </c>
      <c r="L293" s="738"/>
      <c r="M293" s="738"/>
      <c r="N293" s="738"/>
      <c r="O293" s="738"/>
      <c r="P293" s="697"/>
    </row>
    <row r="294" spans="1:16" hidden="1">
      <c r="A294" s="921"/>
      <c r="B294" s="948" t="s">
        <v>465</v>
      </c>
      <c r="C294" s="948">
        <f>SUM(C295:C299)</f>
        <v>87936</v>
      </c>
      <c r="D294" s="937">
        <f>SUM(D295:D299)</f>
        <v>2901.75</v>
      </c>
      <c r="E294" s="712">
        <f t="shared" si="20"/>
        <v>408.1223628691983</v>
      </c>
      <c r="F294" s="920">
        <v>1</v>
      </c>
      <c r="G294" s="712">
        <f t="shared" si="17"/>
        <v>2901.75</v>
      </c>
      <c r="H294" s="606" t="s">
        <v>61</v>
      </c>
      <c r="I294" s="606"/>
      <c r="J294" s="606"/>
      <c r="K294" s="697" t="s">
        <v>544</v>
      </c>
      <c r="L294" s="738"/>
      <c r="M294" s="738"/>
      <c r="N294" s="738"/>
      <c r="O294" s="738"/>
      <c r="P294" s="697"/>
    </row>
    <row r="295" spans="1:16" hidden="1">
      <c r="A295" s="921" t="s">
        <v>415</v>
      </c>
      <c r="B295" s="922" t="s">
        <v>466</v>
      </c>
      <c r="C295" s="922">
        <v>16128</v>
      </c>
      <c r="D295" s="924">
        <v>532.13</v>
      </c>
      <c r="E295" s="712">
        <f t="shared" si="20"/>
        <v>74.842475386779185</v>
      </c>
      <c r="F295" s="920">
        <v>1</v>
      </c>
      <c r="G295" s="712">
        <f t="shared" si="17"/>
        <v>532.13</v>
      </c>
      <c r="H295" s="606" t="s">
        <v>61</v>
      </c>
      <c r="I295" s="606"/>
      <c r="J295" s="606"/>
      <c r="K295" s="697" t="s">
        <v>544</v>
      </c>
      <c r="L295" s="738"/>
      <c r="M295" s="738"/>
      <c r="N295" s="738"/>
      <c r="O295" s="738"/>
      <c r="P295" s="697"/>
    </row>
    <row r="296" spans="1:16" hidden="1">
      <c r="A296" s="921" t="s">
        <v>417</v>
      </c>
      <c r="B296" s="922" t="s">
        <v>467</v>
      </c>
      <c r="C296" s="922">
        <v>18768</v>
      </c>
      <c r="D296" s="924">
        <v>619.26</v>
      </c>
      <c r="E296" s="712">
        <f t="shared" si="20"/>
        <v>87.097046413502099</v>
      </c>
      <c r="F296" s="920">
        <v>1</v>
      </c>
      <c r="G296" s="712">
        <f t="shared" si="17"/>
        <v>619.26</v>
      </c>
      <c r="H296" s="606" t="s">
        <v>61</v>
      </c>
      <c r="I296" s="606"/>
      <c r="J296" s="606"/>
      <c r="K296" s="697" t="s">
        <v>544</v>
      </c>
      <c r="L296" s="738"/>
      <c r="M296" s="738"/>
      <c r="N296" s="738"/>
      <c r="O296" s="738"/>
      <c r="P296" s="697"/>
    </row>
    <row r="297" spans="1:16" hidden="1">
      <c r="A297" s="921" t="s">
        <v>419</v>
      </c>
      <c r="B297" s="922" t="s">
        <v>468</v>
      </c>
      <c r="C297" s="922">
        <v>18768</v>
      </c>
      <c r="D297" s="924">
        <v>619.26</v>
      </c>
      <c r="E297" s="712">
        <f t="shared" si="20"/>
        <v>87.097046413502099</v>
      </c>
      <c r="F297" s="920">
        <v>1</v>
      </c>
      <c r="G297" s="712">
        <f t="shared" si="17"/>
        <v>619.26</v>
      </c>
      <c r="H297" s="606" t="s">
        <v>61</v>
      </c>
      <c r="I297" s="606"/>
      <c r="J297" s="606"/>
      <c r="K297" s="697" t="s">
        <v>544</v>
      </c>
      <c r="L297" s="738"/>
      <c r="M297" s="738"/>
      <c r="N297" s="738"/>
      <c r="O297" s="738"/>
      <c r="P297" s="697"/>
    </row>
    <row r="298" spans="1:16" hidden="1">
      <c r="A298" s="921" t="s">
        <v>421</v>
      </c>
      <c r="B298" s="922" t="s">
        <v>469</v>
      </c>
      <c r="C298" s="922">
        <v>17136</v>
      </c>
      <c r="D298" s="924">
        <v>565.54999999999995</v>
      </c>
      <c r="E298" s="712">
        <f t="shared" si="20"/>
        <v>79.54289732770745</v>
      </c>
      <c r="F298" s="920">
        <v>1</v>
      </c>
      <c r="G298" s="712">
        <f t="shared" si="17"/>
        <v>565.54999999999995</v>
      </c>
      <c r="H298" s="606" t="s">
        <v>61</v>
      </c>
      <c r="I298" s="606"/>
      <c r="J298" s="606"/>
      <c r="K298" s="697" t="s">
        <v>544</v>
      </c>
      <c r="L298" s="738"/>
      <c r="M298" s="738"/>
      <c r="N298" s="738"/>
      <c r="O298" s="738"/>
      <c r="P298" s="697"/>
    </row>
    <row r="299" spans="1:16" hidden="1">
      <c r="A299" s="921" t="s">
        <v>423</v>
      </c>
      <c r="B299" s="922" t="s">
        <v>470</v>
      </c>
      <c r="C299" s="922">
        <v>17136</v>
      </c>
      <c r="D299" s="924">
        <v>565.54999999999995</v>
      </c>
      <c r="E299" s="712">
        <f t="shared" si="20"/>
        <v>79.54289732770745</v>
      </c>
      <c r="F299" s="920">
        <v>1</v>
      </c>
      <c r="G299" s="712">
        <f t="shared" si="17"/>
        <v>565.54999999999995</v>
      </c>
      <c r="H299" s="606" t="s">
        <v>61</v>
      </c>
      <c r="I299" s="606"/>
      <c r="J299" s="606"/>
      <c r="K299" s="697" t="s">
        <v>544</v>
      </c>
      <c r="L299" s="738"/>
      <c r="M299" s="738"/>
      <c r="N299" s="738"/>
      <c r="O299" s="738"/>
      <c r="P299" s="697"/>
    </row>
    <row r="300" spans="1:16" hidden="1">
      <c r="A300" s="921"/>
      <c r="B300" s="948" t="s">
        <v>471</v>
      </c>
      <c r="C300" s="948">
        <f ca="1">SUM(C293:C306)</f>
        <v>86214</v>
      </c>
      <c r="D300" s="937">
        <f ca="1">SUM(D293:D306)</f>
        <v>2844.45</v>
      </c>
      <c r="E300" s="712">
        <f t="shared" ca="1" si="20"/>
        <v>961.49055194667903</v>
      </c>
      <c r="F300" s="920">
        <v>1</v>
      </c>
      <c r="G300" s="712">
        <f t="shared" ca="1" si="17"/>
        <v>6823.41</v>
      </c>
      <c r="H300" s="606" t="s">
        <v>61</v>
      </c>
      <c r="I300" s="606"/>
      <c r="J300" s="606"/>
      <c r="K300" s="697" t="s">
        <v>544</v>
      </c>
      <c r="L300" s="738"/>
      <c r="M300" s="738"/>
      <c r="N300" s="738"/>
      <c r="O300" s="738"/>
      <c r="P300" s="697"/>
    </row>
    <row r="301" spans="1:16" hidden="1">
      <c r="A301" s="921" t="s">
        <v>403</v>
      </c>
      <c r="B301" s="922" t="s">
        <v>472</v>
      </c>
      <c r="C301" s="922">
        <v>11022</v>
      </c>
      <c r="D301" s="924">
        <v>363.68</v>
      </c>
      <c r="E301" s="712">
        <f t="shared" si="20"/>
        <v>51.150492264416314</v>
      </c>
      <c r="F301" s="920">
        <v>1</v>
      </c>
      <c r="G301" s="712">
        <f t="shared" si="17"/>
        <v>363.68</v>
      </c>
      <c r="H301" s="606" t="s">
        <v>61</v>
      </c>
      <c r="I301" s="606"/>
      <c r="J301" s="606"/>
      <c r="K301" s="697" t="s">
        <v>544</v>
      </c>
      <c r="L301" s="738"/>
      <c r="M301" s="738"/>
      <c r="N301" s="738"/>
      <c r="O301" s="738"/>
      <c r="P301" s="697"/>
    </row>
    <row r="302" spans="1:16" hidden="1">
      <c r="A302" s="921" t="s">
        <v>405</v>
      </c>
      <c r="B302" s="922" t="s">
        <v>406</v>
      </c>
      <c r="C302" s="922">
        <v>11707</v>
      </c>
      <c r="D302" s="924">
        <v>386.18</v>
      </c>
      <c r="E302" s="712">
        <f t="shared" si="20"/>
        <v>54.31504922644163</v>
      </c>
      <c r="F302" s="920">
        <v>1</v>
      </c>
      <c r="G302" s="712">
        <f t="shared" si="17"/>
        <v>386.18</v>
      </c>
      <c r="H302" s="606" t="s">
        <v>61</v>
      </c>
      <c r="I302" s="606"/>
      <c r="J302" s="606"/>
      <c r="K302" s="697" t="s">
        <v>544</v>
      </c>
      <c r="L302" s="738"/>
      <c r="M302" s="738"/>
      <c r="N302" s="738"/>
      <c r="O302" s="738"/>
      <c r="P302" s="697"/>
    </row>
    <row r="303" spans="1:16" hidden="1">
      <c r="A303" s="921" t="s">
        <v>407</v>
      </c>
      <c r="B303" s="922" t="s">
        <v>408</v>
      </c>
      <c r="C303" s="922">
        <v>11707</v>
      </c>
      <c r="D303" s="924">
        <v>386.18</v>
      </c>
      <c r="E303" s="712">
        <f t="shared" si="20"/>
        <v>54.31504922644163</v>
      </c>
      <c r="F303" s="920">
        <v>1</v>
      </c>
      <c r="G303" s="712">
        <f t="shared" si="17"/>
        <v>386.18</v>
      </c>
      <c r="H303" s="606" t="s">
        <v>61</v>
      </c>
      <c r="I303" s="606"/>
      <c r="J303" s="606"/>
      <c r="K303" s="697" t="s">
        <v>544</v>
      </c>
      <c r="L303" s="738"/>
      <c r="M303" s="738"/>
      <c r="N303" s="738"/>
      <c r="O303" s="738"/>
      <c r="P303" s="697"/>
    </row>
    <row r="304" spans="1:16" hidden="1">
      <c r="A304" s="921" t="s">
        <v>409</v>
      </c>
      <c r="B304" s="922" t="s">
        <v>410</v>
      </c>
      <c r="C304" s="922">
        <v>11707</v>
      </c>
      <c r="D304" s="924">
        <v>386.18</v>
      </c>
      <c r="E304" s="712">
        <f t="shared" si="20"/>
        <v>54.31504922644163</v>
      </c>
      <c r="F304" s="920">
        <v>1</v>
      </c>
      <c r="G304" s="712">
        <f t="shared" si="17"/>
        <v>386.18</v>
      </c>
      <c r="H304" s="606" t="s">
        <v>61</v>
      </c>
      <c r="I304" s="606"/>
      <c r="J304" s="606"/>
      <c r="K304" s="697" t="s">
        <v>544</v>
      </c>
      <c r="L304" s="738"/>
      <c r="M304" s="738"/>
      <c r="N304" s="738"/>
      <c r="O304" s="738"/>
      <c r="P304" s="697"/>
    </row>
    <row r="305" spans="1:16" hidden="1">
      <c r="A305" s="921" t="s">
        <v>411</v>
      </c>
      <c r="B305" s="922" t="s">
        <v>412</v>
      </c>
      <c r="C305" s="922">
        <v>18327</v>
      </c>
      <c r="D305" s="924">
        <v>604.76</v>
      </c>
      <c r="E305" s="712">
        <f t="shared" si="20"/>
        <v>85.057665260196899</v>
      </c>
      <c r="F305" s="920">
        <v>1</v>
      </c>
      <c r="G305" s="712">
        <f t="shared" si="17"/>
        <v>604.76</v>
      </c>
      <c r="H305" s="606" t="s">
        <v>61</v>
      </c>
      <c r="I305" s="606"/>
      <c r="J305" s="606"/>
      <c r="K305" s="697" t="s">
        <v>544</v>
      </c>
      <c r="L305" s="738"/>
      <c r="M305" s="738"/>
      <c r="N305" s="738"/>
      <c r="O305" s="738"/>
      <c r="P305" s="697"/>
    </row>
    <row r="306" spans="1:16" hidden="1">
      <c r="A306" s="921" t="s">
        <v>413</v>
      </c>
      <c r="B306" s="922" t="s">
        <v>412</v>
      </c>
      <c r="C306" s="922">
        <v>11664</v>
      </c>
      <c r="D306" s="924">
        <v>384.82</v>
      </c>
      <c r="E306" s="712">
        <f t="shared" si="20"/>
        <v>54.123769338959207</v>
      </c>
      <c r="F306" s="920">
        <v>1</v>
      </c>
      <c r="G306" s="712">
        <f t="shared" si="17"/>
        <v>384.82</v>
      </c>
      <c r="H306" s="606" t="s">
        <v>61</v>
      </c>
      <c r="I306" s="606"/>
      <c r="J306" s="606"/>
      <c r="K306" s="697" t="s">
        <v>544</v>
      </c>
      <c r="L306" s="738"/>
      <c r="M306" s="738"/>
      <c r="N306" s="738"/>
      <c r="O306" s="738"/>
      <c r="P306" s="697"/>
    </row>
    <row r="307" spans="1:16" ht="15" customHeight="1">
      <c r="A307" s="606" t="s">
        <v>66</v>
      </c>
      <c r="B307" s="709" t="s">
        <v>652</v>
      </c>
      <c r="C307" s="709" t="s">
        <v>653</v>
      </c>
      <c r="D307" s="712">
        <f>'[2]总投资-发采购-0411-GLP拆分场外费用(司调)'!G251</f>
        <v>3364</v>
      </c>
      <c r="E307" s="712">
        <f t="shared" si="20"/>
        <v>473.1364275668073</v>
      </c>
      <c r="F307" s="920">
        <v>1</v>
      </c>
      <c r="G307" s="712">
        <f t="shared" si="17"/>
        <v>3364</v>
      </c>
      <c r="H307" s="606" t="s">
        <v>61</v>
      </c>
      <c r="I307" s="606" t="s">
        <v>30</v>
      </c>
      <c r="J307" s="606">
        <v>48</v>
      </c>
      <c r="K307" s="697" t="s">
        <v>31</v>
      </c>
      <c r="L307" s="738" t="s">
        <v>369</v>
      </c>
      <c r="M307" s="738" t="s">
        <v>337</v>
      </c>
      <c r="N307" s="738" t="s">
        <v>337</v>
      </c>
      <c r="O307" s="738" t="s">
        <v>475</v>
      </c>
      <c r="P307" s="697"/>
    </row>
    <row r="308" spans="1:16" ht="42.75" customHeight="1">
      <c r="A308" s="606" t="s">
        <v>69</v>
      </c>
      <c r="B308" s="709" t="s">
        <v>654</v>
      </c>
      <c r="C308" s="709" t="s">
        <v>655</v>
      </c>
      <c r="D308" s="712">
        <f>'[2]总投资-发采购-0411-GLP拆分场外费用(司调)'!G287</f>
        <v>4000</v>
      </c>
      <c r="E308" s="712">
        <f t="shared" si="20"/>
        <v>562.5879043600562</v>
      </c>
      <c r="F308" s="920">
        <v>1</v>
      </c>
      <c r="G308" s="712">
        <f t="shared" si="17"/>
        <v>4000</v>
      </c>
      <c r="H308" s="606" t="s">
        <v>61</v>
      </c>
      <c r="I308" s="606" t="s">
        <v>30</v>
      </c>
      <c r="J308" s="606">
        <v>48</v>
      </c>
      <c r="K308" s="697" t="s">
        <v>31</v>
      </c>
      <c r="L308" s="738" t="s">
        <v>369</v>
      </c>
      <c r="M308" s="738" t="s">
        <v>337</v>
      </c>
      <c r="N308" s="738" t="s">
        <v>337</v>
      </c>
      <c r="O308" s="738" t="s">
        <v>475</v>
      </c>
      <c r="P308" s="697"/>
    </row>
    <row r="309" spans="1:16" ht="22.05" hidden="1" customHeight="1">
      <c r="A309" s="775"/>
      <c r="B309" s="922">
        <v>4.2</v>
      </c>
      <c r="C309" s="922" t="s">
        <v>478</v>
      </c>
      <c r="D309" s="924">
        <f>[2]总投资20240410!F355</f>
        <v>4000</v>
      </c>
      <c r="E309" s="712"/>
      <c r="F309" s="920">
        <v>1</v>
      </c>
      <c r="G309" s="712">
        <f t="shared" si="17"/>
        <v>4000</v>
      </c>
      <c r="H309" s="606" t="s">
        <v>61</v>
      </c>
      <c r="I309" s="606"/>
      <c r="J309" s="606"/>
      <c r="K309" s="697" t="s">
        <v>544</v>
      </c>
      <c r="L309" s="738"/>
      <c r="M309" s="738"/>
      <c r="N309" s="738"/>
      <c r="O309" s="738"/>
      <c r="P309" s="697"/>
    </row>
    <row r="310" spans="1:16" ht="57.75" customHeight="1">
      <c r="A310" s="606" t="s">
        <v>72</v>
      </c>
      <c r="B310" s="709" t="s">
        <v>656</v>
      </c>
      <c r="C310" s="709" t="s">
        <v>657</v>
      </c>
      <c r="D310" s="712">
        <f>'[2]总投资-发采购-0411-GLP拆分场外费用(司调)'!G288</f>
        <v>18818.98</v>
      </c>
      <c r="E310" s="712">
        <f>D310/$A$3</f>
        <v>2646.8326300984527</v>
      </c>
      <c r="F310" s="920">
        <v>1</v>
      </c>
      <c r="G310" s="712">
        <f t="shared" si="17"/>
        <v>18818.98</v>
      </c>
      <c r="H310" s="606" t="s">
        <v>61</v>
      </c>
      <c r="I310" s="606" t="s">
        <v>658</v>
      </c>
      <c r="J310" s="606">
        <v>42</v>
      </c>
      <c r="K310" s="697" t="s">
        <v>31</v>
      </c>
      <c r="L310" s="738" t="s">
        <v>181</v>
      </c>
      <c r="M310" s="738" t="s">
        <v>428</v>
      </c>
      <c r="N310" s="738" t="s">
        <v>429</v>
      </c>
      <c r="O310" s="738" t="s">
        <v>228</v>
      </c>
      <c r="P310" s="697"/>
    </row>
    <row r="311" spans="1:16" hidden="1">
      <c r="A311" s="949">
        <v>4.3</v>
      </c>
      <c r="B311" s="925" t="s">
        <v>479</v>
      </c>
      <c r="C311" s="925"/>
      <c r="D311" s="924">
        <f>'[2]总投资-发采购-0411-GLP拆分场外费用(司调)'!G288</f>
        <v>18818.98</v>
      </c>
      <c r="E311" s="712">
        <f>D311/$A$3</f>
        <v>2646.8326300984527</v>
      </c>
      <c r="F311" s="920">
        <v>1</v>
      </c>
      <c r="G311" s="712">
        <f t="shared" si="17"/>
        <v>18818.98</v>
      </c>
      <c r="H311" s="606"/>
      <c r="I311" s="606"/>
      <c r="J311" s="606"/>
      <c r="K311" s="697"/>
      <c r="L311" s="738"/>
      <c r="M311" s="738"/>
      <c r="N311" s="738"/>
      <c r="O311" s="738"/>
      <c r="P311" s="697"/>
    </row>
    <row r="312" spans="1:16" hidden="1">
      <c r="A312" s="949" t="s">
        <v>481</v>
      </c>
      <c r="B312" s="925" t="s">
        <v>482</v>
      </c>
      <c r="C312" s="925"/>
      <c r="D312" s="924">
        <f>'[2]总投资-发采购-0411-GLP拆分场外费用(司调)'!G289</f>
        <v>3355</v>
      </c>
      <c r="E312" s="712">
        <f t="shared" ref="E312:E323" si="21">D312/$A$3</f>
        <v>471.87060478199714</v>
      </c>
      <c r="F312" s="920">
        <v>1</v>
      </c>
      <c r="G312" s="712">
        <f t="shared" ref="G312:G323" si="22">D312</f>
        <v>3355</v>
      </c>
      <c r="H312" s="606"/>
      <c r="I312" s="606"/>
      <c r="J312" s="606"/>
      <c r="K312" s="697"/>
      <c r="L312" s="738"/>
      <c r="M312" s="738"/>
      <c r="N312" s="738"/>
      <c r="O312" s="738"/>
      <c r="P312" s="697"/>
    </row>
    <row r="313" spans="1:16" hidden="1">
      <c r="A313" s="949" t="s">
        <v>483</v>
      </c>
      <c r="B313" s="925" t="s">
        <v>484</v>
      </c>
      <c r="C313" s="925"/>
      <c r="D313" s="924">
        <f>'[2]总投资-发采购-0411-GLP拆分场外费用(司调)'!G290</f>
        <v>920</v>
      </c>
      <c r="E313" s="712">
        <f t="shared" si="21"/>
        <v>129.39521800281292</v>
      </c>
      <c r="F313" s="920">
        <v>1</v>
      </c>
      <c r="G313" s="712">
        <f t="shared" si="22"/>
        <v>920</v>
      </c>
      <c r="H313" s="606"/>
      <c r="I313" s="606"/>
      <c r="J313" s="606"/>
      <c r="K313" s="697"/>
      <c r="L313" s="738"/>
      <c r="M313" s="738"/>
      <c r="N313" s="738"/>
      <c r="O313" s="738"/>
      <c r="P313" s="697"/>
    </row>
    <row r="314" spans="1:16" hidden="1">
      <c r="A314" s="949" t="s">
        <v>485</v>
      </c>
      <c r="B314" s="925" t="s">
        <v>486</v>
      </c>
      <c r="C314" s="925"/>
      <c r="D314" s="924">
        <f>'[2]总投资-发采购-0411-GLP拆分场外费用(司调)'!G291</f>
        <v>3160</v>
      </c>
      <c r="E314" s="712">
        <f t="shared" si="21"/>
        <v>444.4444444444444</v>
      </c>
      <c r="F314" s="920">
        <v>1</v>
      </c>
      <c r="G314" s="712">
        <f t="shared" si="22"/>
        <v>3160</v>
      </c>
      <c r="H314" s="606"/>
      <c r="I314" s="606"/>
      <c r="J314" s="606"/>
      <c r="K314" s="697"/>
      <c r="L314" s="738"/>
      <c r="M314" s="738"/>
      <c r="N314" s="738"/>
      <c r="O314" s="738"/>
      <c r="P314" s="697"/>
    </row>
    <row r="315" spans="1:16" hidden="1">
      <c r="A315" s="949" t="s">
        <v>487</v>
      </c>
      <c r="B315" s="925" t="s">
        <v>488</v>
      </c>
      <c r="C315" s="925"/>
      <c r="D315" s="924">
        <f>'[2]总投资-发采购-0411-GLP拆分场外费用(司调)'!G292</f>
        <v>2100</v>
      </c>
      <c r="E315" s="712">
        <f t="shared" si="21"/>
        <v>295.35864978902953</v>
      </c>
      <c r="F315" s="920">
        <v>1</v>
      </c>
      <c r="G315" s="712">
        <f t="shared" si="22"/>
        <v>2100</v>
      </c>
      <c r="H315" s="606"/>
      <c r="I315" s="606"/>
      <c r="J315" s="606"/>
      <c r="K315" s="697"/>
      <c r="L315" s="738"/>
      <c r="M315" s="738"/>
      <c r="N315" s="738"/>
      <c r="O315" s="738"/>
      <c r="P315" s="697"/>
    </row>
    <row r="316" spans="1:16" hidden="1">
      <c r="A316" s="949" t="s">
        <v>489</v>
      </c>
      <c r="B316" s="925" t="s">
        <v>490</v>
      </c>
      <c r="C316" s="925"/>
      <c r="D316" s="924">
        <f>'[2]总投资-发采购-0411-GLP拆分场外费用(司调)'!G293</f>
        <v>341.9</v>
      </c>
      <c r="E316" s="712">
        <f t="shared" si="21"/>
        <v>48.087201125175802</v>
      </c>
      <c r="F316" s="920">
        <v>1</v>
      </c>
      <c r="G316" s="712">
        <f t="shared" si="22"/>
        <v>341.9</v>
      </c>
      <c r="H316" s="606"/>
      <c r="I316" s="606"/>
      <c r="J316" s="606"/>
      <c r="K316" s="697"/>
      <c r="L316" s="738"/>
      <c r="M316" s="738"/>
      <c r="N316" s="738"/>
      <c r="O316" s="738"/>
      <c r="P316" s="697"/>
    </row>
    <row r="317" spans="1:16" hidden="1">
      <c r="A317" s="949" t="s">
        <v>491</v>
      </c>
      <c r="B317" s="925" t="s">
        <v>492</v>
      </c>
      <c r="C317" s="925"/>
      <c r="D317" s="924">
        <f>'[2]总投资-发采购-0411-GLP拆分场外费用(司调)'!G294</f>
        <v>656.15</v>
      </c>
      <c r="E317" s="712">
        <f t="shared" si="21"/>
        <v>92.285513361462719</v>
      </c>
      <c r="F317" s="920">
        <v>1</v>
      </c>
      <c r="G317" s="712">
        <f t="shared" si="22"/>
        <v>656.15</v>
      </c>
      <c r="H317" s="606"/>
      <c r="I317" s="606"/>
      <c r="J317" s="606"/>
      <c r="K317" s="697"/>
      <c r="L317" s="738"/>
      <c r="M317" s="738"/>
      <c r="N317" s="738"/>
      <c r="O317" s="738"/>
      <c r="P317" s="697"/>
    </row>
    <row r="318" spans="1:16" hidden="1">
      <c r="A318" s="949" t="s">
        <v>493</v>
      </c>
      <c r="B318" s="925" t="s">
        <v>494</v>
      </c>
      <c r="C318" s="925"/>
      <c r="D318" s="924">
        <f>'[2]总投资-发采购-0411-GLP拆分场外费用(司调)'!G295</f>
        <v>355.67</v>
      </c>
      <c r="E318" s="712">
        <f t="shared" si="21"/>
        <v>50.023909985935305</v>
      </c>
      <c r="F318" s="920">
        <v>1</v>
      </c>
      <c r="G318" s="712">
        <f t="shared" si="22"/>
        <v>355.67</v>
      </c>
      <c r="H318" s="606"/>
      <c r="I318" s="606"/>
      <c r="J318" s="606"/>
      <c r="K318" s="697"/>
      <c r="L318" s="738"/>
      <c r="M318" s="738"/>
      <c r="N318" s="738"/>
      <c r="O318" s="738"/>
      <c r="P318" s="697"/>
    </row>
    <row r="319" spans="1:16" hidden="1">
      <c r="A319" s="949" t="s">
        <v>495</v>
      </c>
      <c r="B319" s="925" t="s">
        <v>496</v>
      </c>
      <c r="C319" s="925"/>
      <c r="D319" s="924">
        <f>'[2]总投资-发采购-0411-GLP拆分场外费用(司调)'!G296</f>
        <v>211.46</v>
      </c>
      <c r="E319" s="712">
        <f t="shared" si="21"/>
        <v>29.741209563994374</v>
      </c>
      <c r="F319" s="920">
        <v>1</v>
      </c>
      <c r="G319" s="712">
        <f t="shared" si="22"/>
        <v>211.46</v>
      </c>
      <c r="H319" s="606"/>
      <c r="I319" s="606"/>
      <c r="J319" s="606"/>
      <c r="K319" s="697"/>
      <c r="L319" s="738"/>
      <c r="M319" s="738"/>
      <c r="N319" s="738"/>
      <c r="O319" s="738"/>
      <c r="P319" s="697"/>
    </row>
    <row r="320" spans="1:16" hidden="1">
      <c r="A320" s="949" t="s">
        <v>497</v>
      </c>
      <c r="B320" s="925" t="s">
        <v>498</v>
      </c>
      <c r="C320" s="925"/>
      <c r="D320" s="924">
        <f>'[2]总投资-发采购-0411-GLP拆分场外费用(司调)'!G297</f>
        <v>33.6</v>
      </c>
      <c r="E320" s="712">
        <f t="shared" si="21"/>
        <v>4.7257383966244726</v>
      </c>
      <c r="F320" s="920">
        <v>1</v>
      </c>
      <c r="G320" s="712">
        <f t="shared" si="22"/>
        <v>33.6</v>
      </c>
      <c r="H320" s="606"/>
      <c r="I320" s="606"/>
      <c r="J320" s="606"/>
      <c r="K320" s="697"/>
      <c r="L320" s="738"/>
      <c r="M320" s="738"/>
      <c r="N320" s="738"/>
      <c r="O320" s="738"/>
      <c r="P320" s="697"/>
    </row>
    <row r="321" spans="1:16" hidden="1">
      <c r="A321" s="949" t="s">
        <v>499</v>
      </c>
      <c r="B321" s="925" t="s">
        <v>500</v>
      </c>
      <c r="C321" s="925"/>
      <c r="D321" s="924">
        <f>'[2]总投资-发采购-0411-GLP拆分场外费用(司调)'!G298</f>
        <v>333.3</v>
      </c>
      <c r="E321" s="712">
        <f t="shared" si="21"/>
        <v>46.877637130801688</v>
      </c>
      <c r="F321" s="920">
        <v>1</v>
      </c>
      <c r="G321" s="712">
        <f t="shared" si="22"/>
        <v>333.3</v>
      </c>
      <c r="H321" s="606"/>
      <c r="I321" s="606"/>
      <c r="J321" s="606"/>
      <c r="K321" s="697"/>
      <c r="L321" s="738"/>
      <c r="M321" s="738"/>
      <c r="N321" s="738"/>
      <c r="O321" s="738"/>
      <c r="P321" s="697"/>
    </row>
    <row r="322" spans="1:16" hidden="1">
      <c r="A322" s="949" t="s">
        <v>501</v>
      </c>
      <c r="B322" s="925" t="s">
        <v>502</v>
      </c>
      <c r="C322" s="925"/>
      <c r="D322" s="924">
        <f>'[2]总投资-发采购-0411-GLP拆分场外费用(司调)'!G299</f>
        <v>7000</v>
      </c>
      <c r="E322" s="712">
        <f t="shared" si="21"/>
        <v>984.52883263009846</v>
      </c>
      <c r="F322" s="920">
        <v>1</v>
      </c>
      <c r="G322" s="712">
        <f t="shared" si="22"/>
        <v>7000</v>
      </c>
      <c r="H322" s="606"/>
      <c r="I322" s="606"/>
      <c r="J322" s="606"/>
      <c r="K322" s="697"/>
      <c r="L322" s="738"/>
      <c r="M322" s="738"/>
      <c r="N322" s="738"/>
      <c r="O322" s="738"/>
      <c r="P322" s="697"/>
    </row>
    <row r="323" spans="1:16" hidden="1">
      <c r="A323" s="949" t="s">
        <v>503</v>
      </c>
      <c r="B323" s="925" t="s">
        <v>504</v>
      </c>
      <c r="C323" s="925"/>
      <c r="D323" s="924">
        <f>'[2]总投资-发采购-0411-GLP拆分场外费用(司调)'!G300</f>
        <v>351.9</v>
      </c>
      <c r="E323" s="712">
        <f t="shared" si="21"/>
        <v>49.493670886075947</v>
      </c>
      <c r="F323" s="920">
        <v>1</v>
      </c>
      <c r="G323" s="712">
        <f t="shared" si="22"/>
        <v>351.9</v>
      </c>
      <c r="H323" s="606"/>
      <c r="I323" s="606"/>
      <c r="J323" s="606"/>
      <c r="K323" s="697"/>
      <c r="L323" s="738"/>
      <c r="M323" s="738"/>
      <c r="N323" s="738"/>
      <c r="O323" s="738"/>
      <c r="P323" s="697"/>
    </row>
    <row r="324" spans="1:16" hidden="1">
      <c r="A324" s="1075" t="s">
        <v>104</v>
      </c>
      <c r="B324" s="1076"/>
      <c r="C324" s="1077"/>
      <c r="D324" s="713">
        <f>SUM(D244,D262,D263,D275,D307,D308,D310)</f>
        <v>78732.785499999998</v>
      </c>
      <c r="E324" s="713">
        <f>SUM(E244,E262,E263,E275,E308,E307,E310)</f>
        <v>11073.528199718705</v>
      </c>
      <c r="F324" s="932">
        <v>1</v>
      </c>
      <c r="G324" s="713">
        <f>SUM(G244,G262,G263,G275,G308,G310)</f>
        <v>75368.785499999998</v>
      </c>
      <c r="H324" s="606"/>
      <c r="I324" s="606"/>
      <c r="J324" s="606"/>
      <c r="K324" s="697"/>
      <c r="L324" s="738"/>
      <c r="M324" s="738"/>
      <c r="N324" s="738"/>
      <c r="O324" s="738"/>
      <c r="P324" s="697"/>
    </row>
    <row r="325" spans="1:16">
      <c r="A325" s="917" t="s">
        <v>83</v>
      </c>
      <c r="B325" s="756" t="s">
        <v>84</v>
      </c>
      <c r="C325" s="680"/>
      <c r="D325" s="681"/>
      <c r="E325" s="682"/>
      <c r="F325" s="681"/>
      <c r="G325" s="681"/>
      <c r="H325" s="680"/>
      <c r="I325" s="706"/>
      <c r="J325" s="706"/>
      <c r="K325" s="765"/>
      <c r="L325" s="680"/>
      <c r="M325" s="680"/>
      <c r="N325" s="705"/>
      <c r="O325" s="680"/>
      <c r="P325" s="706"/>
    </row>
    <row r="326" spans="1:16" ht="26.4">
      <c r="A326" s="749" t="s">
        <v>85</v>
      </c>
      <c r="B326" s="790" t="s">
        <v>86</v>
      </c>
      <c r="C326" s="790" t="s">
        <v>659</v>
      </c>
      <c r="D326" s="792">
        <f>'[2]总投资-发采购-0411-GLP拆分场外费用(司调)'!G333</f>
        <v>1000</v>
      </c>
      <c r="E326" s="792">
        <f>D326/$A$3</f>
        <v>140.64697609001405</v>
      </c>
      <c r="F326" s="940">
        <v>1</v>
      </c>
      <c r="G326" s="792">
        <f>D326</f>
        <v>1000</v>
      </c>
      <c r="H326" s="754" t="s">
        <v>88</v>
      </c>
      <c r="I326" s="952" t="s">
        <v>89</v>
      </c>
      <c r="J326" s="952">
        <v>48</v>
      </c>
      <c r="K326" s="953" t="s">
        <v>31</v>
      </c>
      <c r="L326" s="755" t="s">
        <v>369</v>
      </c>
      <c r="M326" s="755" t="s">
        <v>337</v>
      </c>
      <c r="N326" s="755" t="s">
        <v>338</v>
      </c>
      <c r="O326" s="755">
        <v>2028.12</v>
      </c>
      <c r="P326" s="754"/>
    </row>
    <row r="327" spans="1:16" ht="28.05" customHeight="1">
      <c r="A327" s="749" t="s">
        <v>511</v>
      </c>
      <c r="B327" s="790" t="s">
        <v>660</v>
      </c>
      <c r="C327" s="790" t="s">
        <v>661</v>
      </c>
      <c r="D327" s="792">
        <f>'[2]总投资-发采购-0411-GLP拆分场外费用(司调)'!G334</f>
        <v>1000</v>
      </c>
      <c r="E327" s="792">
        <f>D327/$A$3</f>
        <v>140.64697609001405</v>
      </c>
      <c r="F327" s="940">
        <v>1</v>
      </c>
      <c r="G327" s="792">
        <f>D327</f>
        <v>1000</v>
      </c>
      <c r="H327" s="754" t="s">
        <v>88</v>
      </c>
      <c r="I327" s="952" t="s">
        <v>89</v>
      </c>
      <c r="J327" s="952">
        <v>48</v>
      </c>
      <c r="K327" s="953" t="s">
        <v>31</v>
      </c>
      <c r="L327" s="755" t="s">
        <v>369</v>
      </c>
      <c r="M327" s="755" t="s">
        <v>337</v>
      </c>
      <c r="N327" s="755" t="s">
        <v>338</v>
      </c>
      <c r="O327" s="755">
        <v>2028.12</v>
      </c>
      <c r="P327" s="754"/>
    </row>
    <row r="328" spans="1:16" ht="16.05" customHeight="1">
      <c r="A328" s="606" t="s">
        <v>514</v>
      </c>
      <c r="B328" s="709" t="s">
        <v>662</v>
      </c>
      <c r="C328" s="709" t="s">
        <v>663</v>
      </c>
      <c r="D328" s="712">
        <f>'[2]总投资-发采购-0411-GLP拆分场外费用(司调)'!G331</f>
        <v>761</v>
      </c>
      <c r="E328" s="712">
        <f>D328/$A$3</f>
        <v>107.0323488045007</v>
      </c>
      <c r="F328" s="920">
        <v>1</v>
      </c>
      <c r="G328" s="712">
        <f>D328</f>
        <v>761</v>
      </c>
      <c r="H328" s="697" t="s">
        <v>88</v>
      </c>
      <c r="I328" s="606" t="s">
        <v>89</v>
      </c>
      <c r="J328" s="606">
        <v>42</v>
      </c>
      <c r="K328" s="697" t="s">
        <v>31</v>
      </c>
      <c r="L328" s="738" t="s">
        <v>181</v>
      </c>
      <c r="M328" s="738" t="s">
        <v>428</v>
      </c>
      <c r="N328" s="738" t="s">
        <v>517</v>
      </c>
      <c r="O328" s="738">
        <v>2028.12</v>
      </c>
      <c r="P328" s="697"/>
    </row>
    <row r="329" spans="1:16">
      <c r="A329" s="606" t="s">
        <v>91</v>
      </c>
      <c r="B329" s="709" t="s">
        <v>664</v>
      </c>
      <c r="C329" s="709" t="s">
        <v>665</v>
      </c>
      <c r="D329" s="712">
        <f>'[2]总投资-发采购-0411-GLP拆分场外费用(司调)'!G332</f>
        <v>116</v>
      </c>
      <c r="E329" s="712">
        <f t="shared" ref="E329:E333" si="23">D329/$A$3</f>
        <v>16.31504922644163</v>
      </c>
      <c r="F329" s="920">
        <v>1</v>
      </c>
      <c r="G329" s="712">
        <f t="shared" ref="G329:G333" si="24">D329</f>
        <v>116</v>
      </c>
      <c r="H329" s="697" t="s">
        <v>88</v>
      </c>
      <c r="I329" s="606" t="s">
        <v>97</v>
      </c>
      <c r="J329" s="606">
        <v>42</v>
      </c>
      <c r="K329" s="697" t="s">
        <v>544</v>
      </c>
      <c r="L329" s="738" t="s">
        <v>181</v>
      </c>
      <c r="M329" s="738" t="s">
        <v>428</v>
      </c>
      <c r="N329" s="738" t="s">
        <v>517</v>
      </c>
      <c r="O329" s="738">
        <v>2028.12</v>
      </c>
      <c r="P329" s="697"/>
    </row>
    <row r="330" spans="1:16" ht="26.4">
      <c r="A330" s="606" t="s">
        <v>94</v>
      </c>
      <c r="B330" s="709" t="s">
        <v>666</v>
      </c>
      <c r="C330" s="950" t="s">
        <v>666</v>
      </c>
      <c r="D330" s="712">
        <v>350</v>
      </c>
      <c r="E330" s="712">
        <f t="shared" si="23"/>
        <v>49.226441631504919</v>
      </c>
      <c r="F330" s="920">
        <v>1</v>
      </c>
      <c r="G330" s="712">
        <f t="shared" si="24"/>
        <v>350</v>
      </c>
      <c r="H330" s="697" t="s">
        <v>88</v>
      </c>
      <c r="I330" s="606" t="s">
        <v>667</v>
      </c>
      <c r="J330" s="606">
        <v>24</v>
      </c>
      <c r="K330" s="697" t="s">
        <v>544</v>
      </c>
      <c r="L330" s="738" t="s">
        <v>181</v>
      </c>
      <c r="M330" s="738" t="s">
        <v>428</v>
      </c>
      <c r="N330" s="738" t="s">
        <v>517</v>
      </c>
      <c r="O330" s="738" t="s">
        <v>228</v>
      </c>
      <c r="P330" s="697"/>
    </row>
    <row r="331" spans="1:16" ht="26.4">
      <c r="A331" s="606" t="s">
        <v>98</v>
      </c>
      <c r="B331" s="709" t="s">
        <v>668</v>
      </c>
      <c r="C331" s="950" t="s">
        <v>669</v>
      </c>
      <c r="D331" s="712">
        <v>350</v>
      </c>
      <c r="E331" s="712">
        <f t="shared" si="23"/>
        <v>49.226441631504919</v>
      </c>
      <c r="F331" s="920">
        <v>1</v>
      </c>
      <c r="G331" s="712"/>
      <c r="H331" s="697" t="s">
        <v>88</v>
      </c>
      <c r="I331" s="606" t="s">
        <v>667</v>
      </c>
      <c r="J331" s="606">
        <v>24</v>
      </c>
      <c r="K331" s="697" t="s">
        <v>544</v>
      </c>
      <c r="L331" s="738" t="s">
        <v>181</v>
      </c>
      <c r="M331" s="738" t="s">
        <v>428</v>
      </c>
      <c r="N331" s="738" t="s">
        <v>517</v>
      </c>
      <c r="O331" s="738" t="s">
        <v>228</v>
      </c>
      <c r="P331" s="697"/>
    </row>
    <row r="332" spans="1:16" ht="26.4">
      <c r="A332" s="606" t="s">
        <v>100</v>
      </c>
      <c r="B332" s="709" t="s">
        <v>670</v>
      </c>
      <c r="C332" s="950" t="s">
        <v>670</v>
      </c>
      <c r="D332" s="712">
        <v>300</v>
      </c>
      <c r="E332" s="712">
        <f t="shared" si="23"/>
        <v>42.194092827004219</v>
      </c>
      <c r="F332" s="920">
        <v>1</v>
      </c>
      <c r="G332" s="712"/>
      <c r="H332" s="697" t="s">
        <v>88</v>
      </c>
      <c r="I332" s="606" t="s">
        <v>667</v>
      </c>
      <c r="J332" s="606">
        <v>24</v>
      </c>
      <c r="K332" s="697" t="s">
        <v>544</v>
      </c>
      <c r="L332" s="738" t="s">
        <v>181</v>
      </c>
      <c r="M332" s="738" t="s">
        <v>428</v>
      </c>
      <c r="N332" s="738" t="s">
        <v>517</v>
      </c>
      <c r="O332" s="738" t="s">
        <v>228</v>
      </c>
      <c r="P332" s="697"/>
    </row>
    <row r="333" spans="1:16">
      <c r="A333" s="1075" t="s">
        <v>104</v>
      </c>
      <c r="B333" s="1076"/>
      <c r="C333" s="1077"/>
      <c r="D333" s="713">
        <f>SUM(D326:D332)</f>
        <v>3877</v>
      </c>
      <c r="E333" s="713">
        <f t="shared" si="23"/>
        <v>545.28832630098452</v>
      </c>
      <c r="F333" s="932">
        <v>1</v>
      </c>
      <c r="G333" s="713">
        <f t="shared" si="24"/>
        <v>3877</v>
      </c>
      <c r="H333" s="697"/>
      <c r="I333" s="606"/>
      <c r="J333" s="606"/>
      <c r="K333" s="697"/>
      <c r="L333" s="606"/>
      <c r="M333" s="606"/>
      <c r="N333" s="738"/>
      <c r="O333" s="947"/>
      <c r="P333" s="697"/>
    </row>
    <row r="334" spans="1:16">
      <c r="A334" s="606"/>
      <c r="B334" s="922"/>
      <c r="C334" s="922"/>
      <c r="D334" s="712"/>
      <c r="E334" s="712"/>
      <c r="F334" s="712"/>
      <c r="G334" s="712"/>
      <c r="H334" s="606"/>
      <c r="I334" s="606"/>
      <c r="J334" s="606"/>
      <c r="K334" s="697"/>
      <c r="L334" s="606"/>
      <c r="M334" s="606"/>
      <c r="N334" s="738"/>
      <c r="O334" s="947"/>
      <c r="P334" s="697"/>
    </row>
    <row r="335" spans="1:16">
      <c r="A335" s="1104" t="s">
        <v>671</v>
      </c>
      <c r="B335" s="1083"/>
      <c r="C335" s="1084"/>
      <c r="D335" s="759">
        <f>SUM(D211,D242,D324,D333)</f>
        <v>285045.69573175302</v>
      </c>
      <c r="E335" s="759">
        <f>D335/A3</f>
        <v>40090.815152145289</v>
      </c>
      <c r="F335" s="951">
        <v>1</v>
      </c>
      <c r="G335" s="759">
        <f>D335</f>
        <v>285045.69573175302</v>
      </c>
      <c r="H335" s="706"/>
      <c r="I335" s="706"/>
      <c r="J335" s="706"/>
      <c r="K335" s="765"/>
      <c r="L335" s="706"/>
      <c r="M335" s="706"/>
      <c r="N335" s="767"/>
      <c r="O335" s="954"/>
      <c r="P335" s="765"/>
    </row>
    <row r="337" spans="3:5">
      <c r="C337" s="760" t="s">
        <v>524</v>
      </c>
      <c r="D337" s="664">
        <f>SUM(D7,D30,D44,D74,D117,D157,D210,D213,D244,D262)</f>
        <v>242748.76023175303</v>
      </c>
      <c r="E337" s="664">
        <f>D337/7.11</f>
        <v>34141.879076195924</v>
      </c>
    </row>
    <row r="338" spans="3:5">
      <c r="C338" s="760" t="s">
        <v>525</v>
      </c>
      <c r="D338" s="664">
        <f>D263+D275+D307+D308+D310</f>
        <v>38419.935499999992</v>
      </c>
      <c r="E338" s="664">
        <f t="shared" ref="E338:E340" si="25">D338/7.11</f>
        <v>5403.6477496483813</v>
      </c>
    </row>
    <row r="339" spans="3:5">
      <c r="C339" s="760" t="s">
        <v>526</v>
      </c>
      <c r="D339" s="664">
        <f>D333</f>
        <v>3877</v>
      </c>
      <c r="E339" s="664">
        <f t="shared" si="25"/>
        <v>545.28832630098452</v>
      </c>
    </row>
    <row r="340" spans="3:5">
      <c r="C340" s="760"/>
      <c r="D340" s="761">
        <f>SUM(D337:D339)</f>
        <v>285045.69573175302</v>
      </c>
      <c r="E340" s="761">
        <f t="shared" si="25"/>
        <v>40090.815152145289</v>
      </c>
    </row>
    <row r="341" spans="3:5">
      <c r="C341" s="760"/>
      <c r="D341" s="664"/>
    </row>
    <row r="343" spans="3:5">
      <c r="C343" s="762"/>
    </row>
    <row r="344" spans="3:5">
      <c r="C344" s="760"/>
      <c r="D344" s="664"/>
    </row>
    <row r="345" spans="3:5">
      <c r="C345" s="760"/>
      <c r="D345" s="664"/>
    </row>
    <row r="346" spans="3:5">
      <c r="C346" s="760"/>
      <c r="D346" s="664"/>
    </row>
    <row r="347" spans="3:5">
      <c r="C347" s="760"/>
      <c r="D347" s="664"/>
    </row>
    <row r="348" spans="3:5">
      <c r="C348" s="760"/>
      <c r="D348" s="664"/>
    </row>
    <row r="349" spans="3:5">
      <c r="C349" s="760"/>
      <c r="D349" s="761"/>
    </row>
    <row r="350" spans="3:5">
      <c r="C350" s="760"/>
    </row>
    <row r="351" spans="3:5">
      <c r="C351" s="760"/>
    </row>
    <row r="352" spans="3:5">
      <c r="C352" s="760"/>
    </row>
    <row r="353" spans="3:3">
      <c r="C353" s="760"/>
    </row>
    <row r="354" spans="3:3">
      <c r="C354" s="760"/>
    </row>
  </sheetData>
  <mergeCells count="21">
    <mergeCell ref="A324:C324"/>
    <mergeCell ref="A333:C333"/>
    <mergeCell ref="A335:C335"/>
    <mergeCell ref="A4:A5"/>
    <mergeCell ref="B4:B5"/>
    <mergeCell ref="C4:C5"/>
    <mergeCell ref="A1:P1"/>
    <mergeCell ref="D4:E4"/>
    <mergeCell ref="A211:C211"/>
    <mergeCell ref="B212:P212"/>
    <mergeCell ref="A242:C242"/>
    <mergeCell ref="H4:H5"/>
    <mergeCell ref="I4:I5"/>
    <mergeCell ref="J4:J5"/>
    <mergeCell ref="K4:K5"/>
    <mergeCell ref="L4:L5"/>
    <mergeCell ref="M4:M5"/>
    <mergeCell ref="N4:N5"/>
    <mergeCell ref="O4:O5"/>
    <mergeCell ref="P4:P5"/>
    <mergeCell ref="F4:G5"/>
  </mergeCells>
  <conditionalFormatting sqref="A210:B210 B213:B241 A214:A241">
    <cfRule type="expression" dxfId="4" priority="1">
      <formula>AND(COUNTIF(#REF!,A210)+COUNTIF(#REF!,A210)&gt;1,NOT(ISBLANK(A210)))</formula>
    </cfRule>
  </conditionalFormatting>
  <printOptions horizontalCentered="1"/>
  <pageMargins left="0.25" right="0.25" top="0.75" bottom="0.75" header="0.3" footer="0.3"/>
  <pageSetup paperSize="9" scale="5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52"/>
  <sheetViews>
    <sheetView zoomScale="83" zoomScaleNormal="83" workbookViewId="0">
      <selection sqref="A1:T1"/>
    </sheetView>
  </sheetViews>
  <sheetFormatPr defaultColWidth="9" defaultRowHeight="14.4"/>
  <cols>
    <col min="1" max="1" width="12.44140625" style="662" customWidth="1"/>
    <col min="2" max="2" width="23.88671875" style="662" customWidth="1"/>
    <col min="3" max="3" width="38.109375" style="662" customWidth="1"/>
    <col min="4" max="4" width="12.5546875" style="663" customWidth="1"/>
    <col min="5" max="5" width="10.77734375" style="664" customWidth="1"/>
    <col min="6" max="6" width="11.5546875" style="663" customWidth="1"/>
    <col min="7" max="7" width="12.5546875" style="663" customWidth="1"/>
    <col min="8" max="8" width="8.33203125" style="662" customWidth="1"/>
    <col min="9" max="9" width="11" style="662" customWidth="1"/>
    <col min="10" max="10" width="6.77734375" style="662" customWidth="1"/>
    <col min="11" max="11" width="6" style="662" customWidth="1"/>
    <col min="12" max="12" width="9" style="662" hidden="1" customWidth="1"/>
    <col min="13" max="13" width="5.88671875" style="662" customWidth="1"/>
    <col min="14" max="15" width="9" style="662" hidden="1" customWidth="1"/>
    <col min="16" max="17" width="8.88671875" style="662" customWidth="1"/>
    <col min="18" max="18" width="9.33203125" style="665" customWidth="1"/>
    <col min="19" max="19" width="8.5546875" style="662" customWidth="1"/>
    <col min="20" max="20" width="8.77734375" style="662"/>
  </cols>
  <sheetData>
    <row r="1" spans="1:20" ht="17.399999999999999">
      <c r="A1" s="1100" t="s">
        <v>672</v>
      </c>
      <c r="B1" s="1100"/>
      <c r="C1" s="1101"/>
      <c r="D1" s="1101"/>
      <c r="E1" s="1101"/>
      <c r="F1" s="1101"/>
      <c r="G1" s="1101"/>
      <c r="H1" s="1101"/>
      <c r="I1" s="1101"/>
      <c r="J1" s="1101"/>
      <c r="K1" s="1101"/>
      <c r="L1" s="1101"/>
      <c r="M1" s="1101"/>
      <c r="N1" s="1101"/>
      <c r="O1" s="1101"/>
      <c r="P1" s="1101"/>
      <c r="Q1" s="1101"/>
      <c r="R1" s="1101"/>
      <c r="S1" s="1101"/>
      <c r="T1" s="1101"/>
    </row>
    <row r="2" spans="1:20" ht="27.6">
      <c r="A2" s="666" t="s">
        <v>106</v>
      </c>
      <c r="B2" s="769" t="s">
        <v>107</v>
      </c>
      <c r="C2" s="668"/>
      <c r="D2" s="669"/>
      <c r="F2" s="669"/>
      <c r="G2" s="669"/>
      <c r="H2" s="670"/>
      <c r="I2" s="670"/>
      <c r="J2" s="670"/>
      <c r="K2" s="670"/>
      <c r="L2" s="670"/>
      <c r="M2" s="670"/>
      <c r="N2" s="670"/>
      <c r="O2" s="670"/>
      <c r="P2" s="670"/>
      <c r="Q2" s="670"/>
      <c r="R2" s="702"/>
      <c r="S2" s="670"/>
    </row>
    <row r="3" spans="1:20">
      <c r="A3" s="671">
        <v>7.11</v>
      </c>
      <c r="B3" s="672">
        <v>45394</v>
      </c>
      <c r="C3" s="673"/>
      <c r="D3" s="674"/>
      <c r="E3" s="675"/>
      <c r="F3" s="674"/>
      <c r="G3" s="674"/>
      <c r="H3" s="676"/>
      <c r="I3" s="676"/>
      <c r="J3" s="676"/>
      <c r="K3" s="676"/>
      <c r="L3" s="676"/>
      <c r="M3" s="676"/>
      <c r="N3" s="676"/>
      <c r="O3" s="676"/>
      <c r="P3" s="676"/>
      <c r="Q3" s="676"/>
      <c r="R3" s="703"/>
      <c r="S3" s="676"/>
      <c r="T3" s="704"/>
    </row>
    <row r="4" spans="1:20">
      <c r="A4" s="1085" t="s">
        <v>108</v>
      </c>
      <c r="B4" s="1085" t="s">
        <v>109</v>
      </c>
      <c r="C4" s="1085" t="s">
        <v>110</v>
      </c>
      <c r="D4" s="1073" t="s">
        <v>111</v>
      </c>
      <c r="E4" s="1074"/>
      <c r="F4" s="1114" t="s">
        <v>673</v>
      </c>
      <c r="G4" s="1115"/>
      <c r="H4" s="1087" t="s">
        <v>113</v>
      </c>
      <c r="I4" s="1087" t="s">
        <v>114</v>
      </c>
      <c r="J4" s="1088" t="s">
        <v>115</v>
      </c>
      <c r="K4" s="1090" t="s">
        <v>116</v>
      </c>
      <c r="L4" s="1092" t="s">
        <v>117</v>
      </c>
      <c r="M4" s="1088" t="s">
        <v>118</v>
      </c>
      <c r="N4" s="1099" t="s">
        <v>119</v>
      </c>
      <c r="O4" s="1099"/>
      <c r="P4" s="1090" t="s">
        <v>120</v>
      </c>
      <c r="Q4" s="1088" t="s">
        <v>121</v>
      </c>
      <c r="R4" s="1096" t="s">
        <v>122</v>
      </c>
      <c r="S4" s="1090" t="s">
        <v>123</v>
      </c>
      <c r="T4" s="1116" t="s">
        <v>124</v>
      </c>
    </row>
    <row r="5" spans="1:20" ht="26.4">
      <c r="A5" s="1086"/>
      <c r="B5" s="1086"/>
      <c r="C5" s="1086"/>
      <c r="D5" s="770" t="s">
        <v>125</v>
      </c>
      <c r="E5" s="771" t="s">
        <v>126</v>
      </c>
      <c r="F5" s="772" t="s">
        <v>126</v>
      </c>
      <c r="G5" s="773" t="s">
        <v>674</v>
      </c>
      <c r="H5" s="1087"/>
      <c r="I5" s="1087"/>
      <c r="J5" s="1089"/>
      <c r="K5" s="1091"/>
      <c r="L5" s="1093"/>
      <c r="M5" s="1089"/>
      <c r="N5" s="1099"/>
      <c r="O5" s="1099"/>
      <c r="P5" s="1094"/>
      <c r="Q5" s="1095"/>
      <c r="R5" s="1097"/>
      <c r="S5" s="1094"/>
      <c r="T5" s="1089"/>
    </row>
    <row r="6" spans="1:20">
      <c r="A6" s="756" t="s">
        <v>128</v>
      </c>
      <c r="B6" s="774" t="s">
        <v>129</v>
      </c>
      <c r="C6" s="680"/>
      <c r="D6" s="681"/>
      <c r="E6" s="682"/>
      <c r="F6" s="681"/>
      <c r="G6" s="681"/>
      <c r="H6" s="680"/>
      <c r="I6" s="680"/>
      <c r="J6" s="680"/>
      <c r="K6" s="680"/>
      <c r="L6" s="680"/>
      <c r="M6" s="680"/>
      <c r="N6" s="680"/>
      <c r="O6" s="680"/>
      <c r="P6" s="680"/>
      <c r="Q6" s="680"/>
      <c r="R6" s="705"/>
      <c r="S6" s="680"/>
      <c r="T6" s="706"/>
    </row>
    <row r="7" spans="1:20" ht="39.6">
      <c r="A7" s="775" t="s">
        <v>130</v>
      </c>
      <c r="B7" s="776" t="s">
        <v>131</v>
      </c>
      <c r="C7" s="683" t="s">
        <v>675</v>
      </c>
      <c r="D7" s="684">
        <f>SUM(D8,D21,D29)</f>
        <v>6876.7533184221402</v>
      </c>
      <c r="E7" s="685">
        <f>D7/A3</f>
        <v>967.19455955304363</v>
      </c>
      <c r="F7" s="685">
        <f>E7</f>
        <v>967.19455955304363</v>
      </c>
      <c r="G7" s="685">
        <f>D7</f>
        <v>6876.7533184221402</v>
      </c>
      <c r="H7" s="606" t="s">
        <v>133</v>
      </c>
      <c r="I7" s="606" t="s">
        <v>30</v>
      </c>
      <c r="J7" s="606">
        <v>18</v>
      </c>
      <c r="K7" s="697" t="s">
        <v>134</v>
      </c>
      <c r="L7" s="606" t="s">
        <v>135</v>
      </c>
      <c r="M7" s="780"/>
      <c r="N7" s="606"/>
      <c r="O7" s="606"/>
      <c r="P7" s="698">
        <v>2025.3</v>
      </c>
      <c r="Q7" s="698">
        <v>2025.4</v>
      </c>
      <c r="R7" s="698" t="s">
        <v>136</v>
      </c>
      <c r="S7" s="698" t="s">
        <v>137</v>
      </c>
      <c r="T7" s="697"/>
    </row>
    <row r="8" spans="1:20" hidden="1">
      <c r="A8" s="777">
        <v>1.1000000000000001</v>
      </c>
      <c r="B8" s="690" t="s">
        <v>138</v>
      </c>
      <c r="C8" s="687" t="s">
        <v>676</v>
      </c>
      <c r="D8" s="688">
        <f>'[2]总投资-发采购-0411-GLP拆分场外费用(司调)'!G7</f>
        <v>5931.3338184221402</v>
      </c>
      <c r="E8" s="689"/>
      <c r="F8" s="689">
        <f t="shared" ref="F8:F71" si="0">E8</f>
        <v>0</v>
      </c>
      <c r="G8" s="689">
        <f t="shared" ref="G8:G71" si="1">D8</f>
        <v>5931.3338184221402</v>
      </c>
      <c r="H8" s="686"/>
      <c r="I8" s="686"/>
      <c r="J8" s="686"/>
      <c r="K8" s="707"/>
      <c r="L8" s="686"/>
      <c r="M8" s="780"/>
      <c r="N8" s="686"/>
      <c r="O8" s="686"/>
      <c r="P8" s="699"/>
      <c r="Q8" s="699"/>
      <c r="R8" s="699"/>
      <c r="S8" s="699"/>
      <c r="T8" s="707"/>
    </row>
    <row r="9" spans="1:20" hidden="1">
      <c r="A9" s="777" t="s">
        <v>140</v>
      </c>
      <c r="B9" s="690"/>
      <c r="C9" s="687" t="s">
        <v>677</v>
      </c>
      <c r="D9" s="688">
        <f>'[2]总投资-发采购-0411-GLP拆分场外费用(司调)'!G8</f>
        <v>4137.5599067698404</v>
      </c>
      <c r="E9" s="689"/>
      <c r="F9" s="689">
        <f t="shared" si="0"/>
        <v>0</v>
      </c>
      <c r="G9" s="689">
        <f t="shared" si="1"/>
        <v>4137.5599067698404</v>
      </c>
      <c r="H9" s="686"/>
      <c r="I9" s="686"/>
      <c r="J9" s="686"/>
      <c r="K9" s="707"/>
      <c r="L9" s="686"/>
      <c r="M9" s="780"/>
      <c r="N9" s="686"/>
      <c r="O9" s="686"/>
      <c r="P9" s="699"/>
      <c r="Q9" s="699"/>
      <c r="R9" s="699"/>
      <c r="S9" s="699"/>
      <c r="T9" s="707"/>
    </row>
    <row r="10" spans="1:20" hidden="1">
      <c r="A10" s="777" t="s">
        <v>142</v>
      </c>
      <c r="B10" s="690"/>
      <c r="C10" s="687" t="s">
        <v>678</v>
      </c>
      <c r="D10" s="688">
        <f>'[2]总投资-发采购-0411-GLP拆分场外费用(司调)'!G9</f>
        <v>13.96608</v>
      </c>
      <c r="E10" s="689"/>
      <c r="F10" s="689">
        <f t="shared" si="0"/>
        <v>0</v>
      </c>
      <c r="G10" s="689">
        <f t="shared" si="1"/>
        <v>13.96608</v>
      </c>
      <c r="H10" s="686"/>
      <c r="I10" s="686"/>
      <c r="J10" s="686"/>
      <c r="K10" s="707"/>
      <c r="L10" s="686"/>
      <c r="M10" s="780"/>
      <c r="N10" s="686"/>
      <c r="O10" s="686"/>
      <c r="P10" s="699"/>
      <c r="Q10" s="699"/>
      <c r="R10" s="699"/>
      <c r="S10" s="699"/>
      <c r="T10" s="707"/>
    </row>
    <row r="11" spans="1:20" hidden="1">
      <c r="A11" s="777" t="s">
        <v>144</v>
      </c>
      <c r="B11" s="690"/>
      <c r="C11" s="687" t="s">
        <v>679</v>
      </c>
      <c r="D11" s="688">
        <f>'[2]总投资-发采购-0411-GLP拆分场外费用(司调)'!G10</f>
        <v>125.69472</v>
      </c>
      <c r="E11" s="689"/>
      <c r="F11" s="689">
        <f t="shared" si="0"/>
        <v>0</v>
      </c>
      <c r="G11" s="689">
        <f t="shared" si="1"/>
        <v>125.69472</v>
      </c>
      <c r="H11" s="686"/>
      <c r="I11" s="686"/>
      <c r="J11" s="686"/>
      <c r="K11" s="707"/>
      <c r="L11" s="686"/>
      <c r="M11" s="780"/>
      <c r="N11" s="686"/>
      <c r="O11" s="686"/>
      <c r="P11" s="699"/>
      <c r="Q11" s="699"/>
      <c r="R11" s="699"/>
      <c r="S11" s="699"/>
      <c r="T11" s="707"/>
    </row>
    <row r="12" spans="1:20" hidden="1">
      <c r="A12" s="777" t="s">
        <v>146</v>
      </c>
      <c r="B12" s="690"/>
      <c r="C12" s="687" t="s">
        <v>680</v>
      </c>
      <c r="D12" s="688">
        <f>'[2]总投资-发采购-0411-GLP拆分场外费用(司调)'!G11</f>
        <v>97.762559999999993</v>
      </c>
      <c r="E12" s="689"/>
      <c r="F12" s="689">
        <f t="shared" si="0"/>
        <v>0</v>
      </c>
      <c r="G12" s="689">
        <f t="shared" si="1"/>
        <v>97.762559999999993</v>
      </c>
      <c r="H12" s="686"/>
      <c r="I12" s="686"/>
      <c r="J12" s="686"/>
      <c r="K12" s="707"/>
      <c r="L12" s="686"/>
      <c r="M12" s="780"/>
      <c r="N12" s="686"/>
      <c r="O12" s="686"/>
      <c r="P12" s="699"/>
      <c r="Q12" s="699"/>
      <c r="R12" s="699"/>
      <c r="S12" s="699"/>
      <c r="T12" s="707"/>
    </row>
    <row r="13" spans="1:20" hidden="1">
      <c r="A13" s="777" t="s">
        <v>148</v>
      </c>
      <c r="B13" s="690"/>
      <c r="C13" s="687" t="s">
        <v>681</v>
      </c>
      <c r="D13" s="688">
        <f>'[2]总投资-发采购-0411-GLP拆分场外费用(司调)'!G12</f>
        <v>216.47424000000001</v>
      </c>
      <c r="E13" s="689"/>
      <c r="F13" s="689">
        <f t="shared" si="0"/>
        <v>0</v>
      </c>
      <c r="G13" s="689">
        <f t="shared" si="1"/>
        <v>216.47424000000001</v>
      </c>
      <c r="H13" s="686"/>
      <c r="I13" s="686"/>
      <c r="J13" s="686"/>
      <c r="K13" s="707"/>
      <c r="L13" s="686"/>
      <c r="M13" s="780"/>
      <c r="N13" s="686"/>
      <c r="O13" s="686"/>
      <c r="P13" s="699"/>
      <c r="Q13" s="699"/>
      <c r="R13" s="699"/>
      <c r="S13" s="699"/>
      <c r="T13" s="707"/>
    </row>
    <row r="14" spans="1:20" hidden="1">
      <c r="A14" s="777" t="s">
        <v>150</v>
      </c>
      <c r="B14" s="690"/>
      <c r="C14" s="687" t="s">
        <v>682</v>
      </c>
      <c r="D14" s="688">
        <f>'[2]总投资-发采购-0411-GLP拆分场外费用(司调)'!G13</f>
        <v>59.652501722990401</v>
      </c>
      <c r="E14" s="689"/>
      <c r="F14" s="689">
        <f t="shared" si="0"/>
        <v>0</v>
      </c>
      <c r="G14" s="689">
        <f t="shared" si="1"/>
        <v>59.652501722990401</v>
      </c>
      <c r="H14" s="686"/>
      <c r="I14" s="686"/>
      <c r="J14" s="686"/>
      <c r="K14" s="707"/>
      <c r="L14" s="686"/>
      <c r="M14" s="780"/>
      <c r="N14" s="686"/>
      <c r="O14" s="686"/>
      <c r="P14" s="699"/>
      <c r="Q14" s="699"/>
      <c r="R14" s="699"/>
      <c r="S14" s="699"/>
      <c r="T14" s="707"/>
    </row>
    <row r="15" spans="1:20" hidden="1">
      <c r="A15" s="777" t="s">
        <v>152</v>
      </c>
      <c r="B15" s="690"/>
      <c r="C15" s="687" t="s">
        <v>683</v>
      </c>
      <c r="D15" s="688">
        <f>'[2]总投资-发采购-0411-GLP拆分场外费用(司调)'!G14</f>
        <v>218.22</v>
      </c>
      <c r="E15" s="689"/>
      <c r="F15" s="689">
        <f t="shared" si="0"/>
        <v>0</v>
      </c>
      <c r="G15" s="689">
        <f t="shared" si="1"/>
        <v>218.22</v>
      </c>
      <c r="H15" s="686"/>
      <c r="I15" s="686"/>
      <c r="J15" s="686"/>
      <c r="K15" s="707"/>
      <c r="L15" s="686"/>
      <c r="M15" s="780"/>
      <c r="N15" s="686"/>
      <c r="O15" s="686"/>
      <c r="P15" s="699"/>
      <c r="Q15" s="699"/>
      <c r="R15" s="699"/>
      <c r="S15" s="699"/>
      <c r="T15" s="707"/>
    </row>
    <row r="16" spans="1:20" hidden="1">
      <c r="A16" s="777" t="s">
        <v>154</v>
      </c>
      <c r="B16" s="690"/>
      <c r="C16" s="687" t="s">
        <v>684</v>
      </c>
      <c r="D16" s="688">
        <f>'[2]总投资-发采购-0411-GLP拆分场外费用(司调)'!G15</f>
        <v>1024.0038099293099</v>
      </c>
      <c r="E16" s="689"/>
      <c r="F16" s="689">
        <f t="shared" si="0"/>
        <v>0</v>
      </c>
      <c r="G16" s="689">
        <f t="shared" si="1"/>
        <v>1024.0038099293099</v>
      </c>
      <c r="H16" s="686"/>
      <c r="I16" s="686"/>
      <c r="J16" s="686"/>
      <c r="K16" s="707"/>
      <c r="L16" s="686"/>
      <c r="M16" s="780"/>
      <c r="N16" s="686"/>
      <c r="O16" s="686"/>
      <c r="P16" s="699"/>
      <c r="Q16" s="699"/>
      <c r="R16" s="699"/>
      <c r="S16" s="699"/>
      <c r="T16" s="707"/>
    </row>
    <row r="17" spans="1:20" hidden="1">
      <c r="A17" s="777" t="s">
        <v>154</v>
      </c>
      <c r="B17" s="690"/>
      <c r="C17" s="687" t="s">
        <v>685</v>
      </c>
      <c r="D17" s="688">
        <f>'[2]总投资-发采购-0411-GLP拆分场外费用(司调)'!G16</f>
        <v>38</v>
      </c>
      <c r="E17" s="689"/>
      <c r="F17" s="689">
        <f t="shared" si="0"/>
        <v>0</v>
      </c>
      <c r="G17" s="689">
        <f t="shared" si="1"/>
        <v>38</v>
      </c>
      <c r="H17" s="686"/>
      <c r="I17" s="686"/>
      <c r="J17" s="686"/>
      <c r="K17" s="707"/>
      <c r="L17" s="686"/>
      <c r="M17" s="780"/>
      <c r="N17" s="686"/>
      <c r="O17" s="686"/>
      <c r="P17" s="699"/>
      <c r="Q17" s="699"/>
      <c r="R17" s="699"/>
      <c r="S17" s="699"/>
      <c r="T17" s="707"/>
    </row>
    <row r="18" spans="1:20" hidden="1">
      <c r="A18" s="777"/>
      <c r="B18" s="690"/>
      <c r="C18" s="687" t="s">
        <v>686</v>
      </c>
      <c r="D18" s="688">
        <f>'[2]总投资-发采购-0411-GLP拆分场外费用(司调)'!G17</f>
        <v>1</v>
      </c>
      <c r="E18" s="689"/>
      <c r="F18" s="689">
        <f t="shared" si="0"/>
        <v>0</v>
      </c>
      <c r="G18" s="689">
        <f t="shared" si="1"/>
        <v>1</v>
      </c>
      <c r="H18" s="686"/>
      <c r="I18" s="686"/>
      <c r="J18" s="686"/>
      <c r="K18" s="707"/>
      <c r="L18" s="686"/>
      <c r="M18" s="780"/>
      <c r="N18" s="686"/>
      <c r="O18" s="686"/>
      <c r="P18" s="699"/>
      <c r="Q18" s="699"/>
      <c r="R18" s="699"/>
      <c r="S18" s="699"/>
      <c r="T18" s="707"/>
    </row>
    <row r="19" spans="1:20" hidden="1">
      <c r="A19" s="777"/>
      <c r="B19" s="690"/>
      <c r="C19" s="687" t="s">
        <v>687</v>
      </c>
      <c r="D19" s="688">
        <f>'[2]总投资-发采购-0411-GLP拆分场外费用(司调)'!G18</f>
        <v>4</v>
      </c>
      <c r="E19" s="689"/>
      <c r="F19" s="689">
        <f t="shared" si="0"/>
        <v>0</v>
      </c>
      <c r="G19" s="689">
        <f t="shared" si="1"/>
        <v>4</v>
      </c>
      <c r="H19" s="686"/>
      <c r="I19" s="686"/>
      <c r="J19" s="686"/>
      <c r="K19" s="707"/>
      <c r="L19" s="686"/>
      <c r="M19" s="780"/>
      <c r="N19" s="686"/>
      <c r="O19" s="686"/>
      <c r="P19" s="699"/>
      <c r="Q19" s="699"/>
      <c r="R19" s="699"/>
      <c r="S19" s="699"/>
      <c r="T19" s="707"/>
    </row>
    <row r="20" spans="1:20" hidden="1">
      <c r="A20" s="777"/>
      <c r="B20" s="691"/>
      <c r="C20" s="692" t="s">
        <v>688</v>
      </c>
      <c r="D20" s="688">
        <f>'[2]总投资-发采购-0411-GLP拆分场外费用(司调)'!G19</f>
        <v>33</v>
      </c>
      <c r="E20" s="693"/>
      <c r="F20" s="689">
        <f t="shared" si="0"/>
        <v>0</v>
      </c>
      <c r="G20" s="689">
        <f t="shared" si="1"/>
        <v>33</v>
      </c>
      <c r="H20" s="686"/>
      <c r="I20" s="686"/>
      <c r="J20" s="686"/>
      <c r="K20" s="707"/>
      <c r="L20" s="686"/>
      <c r="M20" s="780"/>
      <c r="N20" s="686"/>
      <c r="O20" s="686"/>
      <c r="P20" s="699"/>
      <c r="Q20" s="699"/>
      <c r="R20" s="699"/>
      <c r="S20" s="699"/>
      <c r="T20" s="707"/>
    </row>
    <row r="21" spans="1:20" hidden="1">
      <c r="A21" s="777" t="s">
        <v>160</v>
      </c>
      <c r="B21" s="690"/>
      <c r="C21" s="694" t="s">
        <v>689</v>
      </c>
      <c r="D21" s="688">
        <f>'[2]总投资-发采购-0411-GLP拆分场外费用(司调)'!G20</f>
        <v>481.61950000000002</v>
      </c>
      <c r="E21" s="693"/>
      <c r="F21" s="689">
        <f t="shared" si="0"/>
        <v>0</v>
      </c>
      <c r="G21" s="689">
        <f t="shared" si="1"/>
        <v>481.61950000000002</v>
      </c>
      <c r="H21" s="686"/>
      <c r="I21" s="686"/>
      <c r="J21" s="686"/>
      <c r="K21" s="707"/>
      <c r="L21" s="686"/>
      <c r="M21" s="780"/>
      <c r="N21" s="686"/>
      <c r="O21" s="686"/>
      <c r="P21" s="699"/>
      <c r="Q21" s="699"/>
      <c r="R21" s="699"/>
      <c r="S21" s="699"/>
      <c r="T21" s="707"/>
    </row>
    <row r="22" spans="1:20" hidden="1">
      <c r="A22" s="777" t="s">
        <v>162</v>
      </c>
      <c r="B22" s="690"/>
      <c r="C22" s="694" t="s">
        <v>690</v>
      </c>
      <c r="D22" s="688">
        <f>'[2]总投资-发采购-0411-GLP拆分场外费用(司调)'!G21</f>
        <v>3.3214999999999999</v>
      </c>
      <c r="E22" s="693"/>
      <c r="F22" s="689">
        <f t="shared" si="0"/>
        <v>0</v>
      </c>
      <c r="G22" s="689">
        <f t="shared" si="1"/>
        <v>3.3214999999999999</v>
      </c>
      <c r="H22" s="686"/>
      <c r="I22" s="686"/>
      <c r="J22" s="686"/>
      <c r="K22" s="707"/>
      <c r="L22" s="686"/>
      <c r="M22" s="780"/>
      <c r="N22" s="686"/>
      <c r="O22" s="686"/>
      <c r="P22" s="699"/>
      <c r="Q22" s="699"/>
      <c r="R22" s="699"/>
      <c r="S22" s="699"/>
      <c r="T22" s="707"/>
    </row>
    <row r="23" spans="1:20" hidden="1">
      <c r="A23" s="777" t="s">
        <v>164</v>
      </c>
      <c r="B23" s="690"/>
      <c r="C23" s="694" t="s">
        <v>691</v>
      </c>
      <c r="D23" s="688">
        <f>'[2]总投资-发采购-0411-GLP拆分场外费用(司调)'!G22</f>
        <v>455.52</v>
      </c>
      <c r="E23" s="693"/>
      <c r="F23" s="689">
        <f t="shared" si="0"/>
        <v>0</v>
      </c>
      <c r="G23" s="689">
        <f t="shared" si="1"/>
        <v>455.52</v>
      </c>
      <c r="H23" s="686"/>
      <c r="I23" s="686"/>
      <c r="J23" s="686"/>
      <c r="K23" s="707"/>
      <c r="L23" s="686"/>
      <c r="M23" s="780"/>
      <c r="N23" s="686"/>
      <c r="O23" s="686"/>
      <c r="P23" s="699"/>
      <c r="Q23" s="699"/>
      <c r="R23" s="699"/>
      <c r="S23" s="699"/>
      <c r="T23" s="707"/>
    </row>
    <row r="24" spans="1:20" hidden="1">
      <c r="A24" s="777" t="s">
        <v>166</v>
      </c>
      <c r="B24" s="690"/>
      <c r="C24" s="694" t="s">
        <v>692</v>
      </c>
      <c r="D24" s="688">
        <f>'[2]总投资-发采购-0411-GLP拆分场外费用(司调)'!G23</f>
        <v>2.847</v>
      </c>
      <c r="E24" s="693"/>
      <c r="F24" s="689">
        <f t="shared" si="0"/>
        <v>0</v>
      </c>
      <c r="G24" s="689">
        <f t="shared" si="1"/>
        <v>2.847</v>
      </c>
      <c r="H24" s="686"/>
      <c r="I24" s="686"/>
      <c r="J24" s="686"/>
      <c r="K24" s="707"/>
      <c r="L24" s="686"/>
      <c r="M24" s="780"/>
      <c r="N24" s="686"/>
      <c r="O24" s="686"/>
      <c r="P24" s="699"/>
      <c r="Q24" s="699"/>
      <c r="R24" s="699"/>
      <c r="S24" s="699"/>
      <c r="T24" s="707"/>
    </row>
    <row r="25" spans="1:20" hidden="1">
      <c r="A25" s="777" t="s">
        <v>168</v>
      </c>
      <c r="B25" s="690"/>
      <c r="C25" s="694" t="s">
        <v>693</v>
      </c>
      <c r="D25" s="688">
        <f>'[2]总投资-发采购-0411-GLP拆分场外费用(司调)'!G24</f>
        <v>3.7959999999999998</v>
      </c>
      <c r="E25" s="693"/>
      <c r="F25" s="689">
        <f t="shared" si="0"/>
        <v>0</v>
      </c>
      <c r="G25" s="689">
        <f t="shared" si="1"/>
        <v>3.7959999999999998</v>
      </c>
      <c r="H25" s="686"/>
      <c r="I25" s="686"/>
      <c r="J25" s="686"/>
      <c r="K25" s="707"/>
      <c r="L25" s="686"/>
      <c r="M25" s="780"/>
      <c r="N25" s="686"/>
      <c r="O25" s="686"/>
      <c r="P25" s="699"/>
      <c r="Q25" s="699"/>
      <c r="R25" s="699"/>
      <c r="S25" s="699"/>
      <c r="T25" s="707"/>
    </row>
    <row r="26" spans="1:20" hidden="1">
      <c r="A26" s="777" t="s">
        <v>170</v>
      </c>
      <c r="B26" s="690"/>
      <c r="C26" s="694" t="s">
        <v>694</v>
      </c>
      <c r="D26" s="688">
        <f>'[2]总投资-发采购-0411-GLP拆分场外费用(司调)'!G25</f>
        <v>8.5410000000000004</v>
      </c>
      <c r="E26" s="693"/>
      <c r="F26" s="689">
        <f t="shared" si="0"/>
        <v>0</v>
      </c>
      <c r="G26" s="689">
        <f t="shared" si="1"/>
        <v>8.5410000000000004</v>
      </c>
      <c r="H26" s="686"/>
      <c r="I26" s="686"/>
      <c r="J26" s="686"/>
      <c r="K26" s="707"/>
      <c r="L26" s="686"/>
      <c r="M26" s="780"/>
      <c r="N26" s="686"/>
      <c r="O26" s="686"/>
      <c r="P26" s="699"/>
      <c r="Q26" s="699"/>
      <c r="R26" s="699"/>
      <c r="S26" s="699"/>
      <c r="T26" s="707"/>
    </row>
    <row r="27" spans="1:20" hidden="1">
      <c r="A27" s="777" t="s">
        <v>172</v>
      </c>
      <c r="B27" s="690"/>
      <c r="C27" s="694" t="s">
        <v>695</v>
      </c>
      <c r="D27" s="688">
        <f>'[2]总投资-发采购-0411-GLP拆分场外费用(司调)'!G26</f>
        <v>5.694</v>
      </c>
      <c r="E27" s="693"/>
      <c r="F27" s="689">
        <f t="shared" si="0"/>
        <v>0</v>
      </c>
      <c r="G27" s="689">
        <f t="shared" si="1"/>
        <v>5.694</v>
      </c>
      <c r="H27" s="686"/>
      <c r="I27" s="686"/>
      <c r="J27" s="686"/>
      <c r="K27" s="707"/>
      <c r="L27" s="686"/>
      <c r="M27" s="780"/>
      <c r="N27" s="686"/>
      <c r="O27" s="686"/>
      <c r="P27" s="699"/>
      <c r="Q27" s="699"/>
      <c r="R27" s="699"/>
      <c r="S27" s="699"/>
      <c r="T27" s="707"/>
    </row>
    <row r="28" spans="1:20" hidden="1">
      <c r="A28" s="777" t="s">
        <v>174</v>
      </c>
      <c r="B28" s="691"/>
      <c r="C28" s="692" t="s">
        <v>696</v>
      </c>
      <c r="D28" s="688">
        <f>'[2]总投资-发采购-0411-GLP拆分场外费用(司调)'!G27</f>
        <v>1.9</v>
      </c>
      <c r="E28" s="693"/>
      <c r="F28" s="689">
        <f t="shared" si="0"/>
        <v>0</v>
      </c>
      <c r="G28" s="689">
        <f t="shared" si="1"/>
        <v>1.9</v>
      </c>
      <c r="H28" s="686"/>
      <c r="I28" s="686"/>
      <c r="J28" s="686"/>
      <c r="K28" s="707"/>
      <c r="L28" s="686"/>
      <c r="M28" s="780"/>
      <c r="N28" s="686"/>
      <c r="O28" s="686"/>
      <c r="P28" s="699"/>
      <c r="Q28" s="699"/>
      <c r="R28" s="699"/>
      <c r="S28" s="699"/>
      <c r="T28" s="707"/>
    </row>
    <row r="29" spans="1:20" hidden="1">
      <c r="A29" s="777">
        <v>1.4</v>
      </c>
      <c r="B29" s="690"/>
      <c r="C29" s="692" t="s">
        <v>697</v>
      </c>
      <c r="D29" s="688">
        <f>'[2]总投资-发采购-0411-GLP拆分场外费用(司调)'!G28</f>
        <v>463.8</v>
      </c>
      <c r="E29" s="693"/>
      <c r="F29" s="689">
        <f t="shared" si="0"/>
        <v>0</v>
      </c>
      <c r="G29" s="689">
        <f t="shared" si="1"/>
        <v>463.8</v>
      </c>
      <c r="H29" s="686"/>
      <c r="I29" s="686"/>
      <c r="J29" s="686"/>
      <c r="K29" s="707"/>
      <c r="L29" s="686"/>
      <c r="M29" s="780"/>
      <c r="N29" s="686"/>
      <c r="O29" s="686"/>
      <c r="P29" s="699"/>
      <c r="Q29" s="699"/>
      <c r="R29" s="699"/>
      <c r="S29" s="699"/>
      <c r="T29" s="707"/>
    </row>
    <row r="30" spans="1:20" ht="26.4">
      <c r="A30" s="775" t="s">
        <v>177</v>
      </c>
      <c r="B30" s="683" t="s">
        <v>698</v>
      </c>
      <c r="C30" s="683" t="s">
        <v>699</v>
      </c>
      <c r="D30" s="684">
        <f>'[2]总投资-发采购-0411-GLP拆分场外费用(司调)'!G82</f>
        <v>13277.6976990773</v>
      </c>
      <c r="E30" s="695">
        <f>D30/$A$3</f>
        <v>1867.4680308125596</v>
      </c>
      <c r="F30" s="685">
        <f t="shared" si="0"/>
        <v>1867.4680308125596</v>
      </c>
      <c r="G30" s="685">
        <f t="shared" si="1"/>
        <v>13277.6976990773</v>
      </c>
      <c r="H30" s="606" t="s">
        <v>133</v>
      </c>
      <c r="I30" s="606" t="s">
        <v>30</v>
      </c>
      <c r="J30" s="606">
        <v>18</v>
      </c>
      <c r="K30" s="591" t="s">
        <v>180</v>
      </c>
      <c r="L30" s="606" t="s">
        <v>135</v>
      </c>
      <c r="M30" s="780"/>
      <c r="N30" s="606"/>
      <c r="O30" s="606"/>
      <c r="P30" s="698">
        <v>2025.3</v>
      </c>
      <c r="Q30" s="698">
        <v>2025.4</v>
      </c>
      <c r="R30" s="698" t="s">
        <v>136</v>
      </c>
      <c r="S30" s="698" t="s">
        <v>137</v>
      </c>
      <c r="T30" s="697"/>
    </row>
    <row r="31" spans="1:20" hidden="1">
      <c r="A31" s="777">
        <v>2.8</v>
      </c>
      <c r="B31" s="690" t="s">
        <v>700</v>
      </c>
      <c r="C31" s="696"/>
      <c r="D31" s="688">
        <f>'[2]总投资-发采购-0411-GLP拆分场外费用(司调)'!G82</f>
        <v>13277.6976990773</v>
      </c>
      <c r="E31" s="693">
        <f t="shared" ref="E31:E44" si="2">D31/$A$3</f>
        <v>1867.4680308125596</v>
      </c>
      <c r="F31" s="689">
        <f t="shared" si="0"/>
        <v>1867.4680308125596</v>
      </c>
      <c r="G31" s="689">
        <f t="shared" si="1"/>
        <v>13277.6976990773</v>
      </c>
      <c r="H31" s="700"/>
      <c r="I31" s="700"/>
      <c r="J31" s="700"/>
      <c r="K31" s="591" t="s">
        <v>180</v>
      </c>
      <c r="L31" s="700"/>
      <c r="M31" s="780"/>
      <c r="N31" s="700"/>
      <c r="O31" s="700"/>
      <c r="P31" s="701"/>
      <c r="Q31" s="701"/>
      <c r="R31" s="701"/>
      <c r="S31" s="701"/>
      <c r="T31" s="708"/>
    </row>
    <row r="32" spans="1:20" hidden="1">
      <c r="A32" s="777" t="s">
        <v>183</v>
      </c>
      <c r="B32" s="690" t="s">
        <v>677</v>
      </c>
      <c r="C32" s="696"/>
      <c r="D32" s="688">
        <f>'[2]总投资-发采购-0411-GLP拆分场外费用(司调)'!G83</f>
        <v>9630.4162214578791</v>
      </c>
      <c r="E32" s="693">
        <f t="shared" si="2"/>
        <v>1354.48892003627</v>
      </c>
      <c r="F32" s="689">
        <f t="shared" si="0"/>
        <v>1354.48892003627</v>
      </c>
      <c r="G32" s="689">
        <f t="shared" si="1"/>
        <v>9630.4162214578791</v>
      </c>
      <c r="H32" s="700"/>
      <c r="I32" s="700"/>
      <c r="J32" s="700"/>
      <c r="K32" s="591" t="s">
        <v>180</v>
      </c>
      <c r="L32" s="700"/>
      <c r="M32" s="780"/>
      <c r="N32" s="700"/>
      <c r="O32" s="700"/>
      <c r="P32" s="701"/>
      <c r="Q32" s="701"/>
      <c r="R32" s="701"/>
      <c r="S32" s="701"/>
      <c r="T32" s="708"/>
    </row>
    <row r="33" spans="1:20" hidden="1">
      <c r="A33" s="777" t="s">
        <v>184</v>
      </c>
      <c r="B33" s="690" t="s">
        <v>678</v>
      </c>
      <c r="C33" s="696"/>
      <c r="D33" s="688">
        <f>'[2]总投资-发采购-0411-GLP拆分场外费用(司调)'!G84</f>
        <v>32.506880000000002</v>
      </c>
      <c r="E33" s="693">
        <f t="shared" si="2"/>
        <v>4.5719943741209566</v>
      </c>
      <c r="F33" s="689">
        <f t="shared" si="0"/>
        <v>4.5719943741209566</v>
      </c>
      <c r="G33" s="689">
        <f t="shared" si="1"/>
        <v>32.506880000000002</v>
      </c>
      <c r="H33" s="700"/>
      <c r="I33" s="700"/>
      <c r="J33" s="700"/>
      <c r="K33" s="591" t="s">
        <v>180</v>
      </c>
      <c r="L33" s="700"/>
      <c r="M33" s="780"/>
      <c r="N33" s="700"/>
      <c r="O33" s="700"/>
      <c r="P33" s="701"/>
      <c r="Q33" s="701"/>
      <c r="R33" s="701"/>
      <c r="S33" s="701"/>
      <c r="T33" s="708"/>
    </row>
    <row r="34" spans="1:20" hidden="1">
      <c r="A34" s="777" t="s">
        <v>185</v>
      </c>
      <c r="B34" s="690" t="s">
        <v>679</v>
      </c>
      <c r="C34" s="696"/>
      <c r="D34" s="688">
        <f>'[2]总投资-发采购-0411-GLP拆分场外费用(司调)'!G85</f>
        <v>292.56191999999999</v>
      </c>
      <c r="E34" s="693">
        <f t="shared" si="2"/>
        <v>41.147949367088607</v>
      </c>
      <c r="F34" s="689">
        <f t="shared" si="0"/>
        <v>41.147949367088607</v>
      </c>
      <c r="G34" s="689">
        <f t="shared" si="1"/>
        <v>292.56191999999999</v>
      </c>
      <c r="H34" s="700"/>
      <c r="I34" s="700"/>
      <c r="J34" s="700"/>
      <c r="K34" s="591" t="s">
        <v>180</v>
      </c>
      <c r="L34" s="700"/>
      <c r="M34" s="780"/>
      <c r="N34" s="700"/>
      <c r="O34" s="700"/>
      <c r="P34" s="701"/>
      <c r="Q34" s="701"/>
      <c r="R34" s="701"/>
      <c r="S34" s="701"/>
      <c r="T34" s="708"/>
    </row>
    <row r="35" spans="1:20" hidden="1">
      <c r="A35" s="777" t="s">
        <v>186</v>
      </c>
      <c r="B35" s="690" t="s">
        <v>680</v>
      </c>
      <c r="C35" s="696"/>
      <c r="D35" s="688">
        <f>'[2]总投资-发采购-0411-GLP拆分场外费用(司调)'!G86</f>
        <v>227.54816</v>
      </c>
      <c r="E35" s="693">
        <f t="shared" si="2"/>
        <v>32.003960618846691</v>
      </c>
      <c r="F35" s="689">
        <f t="shared" si="0"/>
        <v>32.003960618846691</v>
      </c>
      <c r="G35" s="689">
        <f t="shared" si="1"/>
        <v>227.54816</v>
      </c>
      <c r="H35" s="700"/>
      <c r="I35" s="700"/>
      <c r="J35" s="700"/>
      <c r="K35" s="591" t="s">
        <v>180</v>
      </c>
      <c r="L35" s="700"/>
      <c r="M35" s="780"/>
      <c r="N35" s="700"/>
      <c r="O35" s="700"/>
      <c r="P35" s="701"/>
      <c r="Q35" s="701"/>
      <c r="R35" s="701"/>
      <c r="S35" s="701"/>
      <c r="T35" s="708"/>
    </row>
    <row r="36" spans="1:20" hidden="1">
      <c r="A36" s="777" t="s">
        <v>187</v>
      </c>
      <c r="B36" s="690" t="s">
        <v>681</v>
      </c>
      <c r="C36" s="696"/>
      <c r="D36" s="688">
        <f>'[2]总投资-发采购-0411-GLP拆分场外费用(司调)'!G87</f>
        <v>503.85664000000003</v>
      </c>
      <c r="E36" s="693">
        <f t="shared" si="2"/>
        <v>70.865912798874831</v>
      </c>
      <c r="F36" s="689">
        <f t="shared" si="0"/>
        <v>70.865912798874831</v>
      </c>
      <c r="G36" s="689">
        <f t="shared" si="1"/>
        <v>503.85664000000003</v>
      </c>
      <c r="H36" s="700"/>
      <c r="I36" s="700"/>
      <c r="J36" s="700"/>
      <c r="K36" s="591" t="s">
        <v>180</v>
      </c>
      <c r="L36" s="700"/>
      <c r="M36" s="780"/>
      <c r="N36" s="700"/>
      <c r="O36" s="700"/>
      <c r="P36" s="701"/>
      <c r="Q36" s="701"/>
      <c r="R36" s="701"/>
      <c r="S36" s="701"/>
      <c r="T36" s="708"/>
    </row>
    <row r="37" spans="1:20" hidden="1">
      <c r="A37" s="777" t="s">
        <v>188</v>
      </c>
      <c r="B37" s="690" t="s">
        <v>682</v>
      </c>
      <c r="C37" s="696"/>
      <c r="D37" s="688">
        <f>'[2]总投资-发采购-0411-GLP拆分场外费用(司调)'!G88</f>
        <v>138.84473776528901</v>
      </c>
      <c r="E37" s="693">
        <f t="shared" si="2"/>
        <v>19.528092512698876</v>
      </c>
      <c r="F37" s="689">
        <f t="shared" si="0"/>
        <v>19.528092512698876</v>
      </c>
      <c r="G37" s="689">
        <f t="shared" si="1"/>
        <v>138.84473776528901</v>
      </c>
      <c r="H37" s="700"/>
      <c r="I37" s="700"/>
      <c r="J37" s="700"/>
      <c r="K37" s="591" t="s">
        <v>180</v>
      </c>
      <c r="L37" s="700"/>
      <c r="M37" s="780"/>
      <c r="N37" s="700"/>
      <c r="O37" s="700"/>
      <c r="P37" s="701"/>
      <c r="Q37" s="701"/>
      <c r="R37" s="701"/>
      <c r="S37" s="701"/>
      <c r="T37" s="708"/>
    </row>
    <row r="38" spans="1:20" hidden="1">
      <c r="A38" s="777" t="s">
        <v>189</v>
      </c>
      <c r="B38" s="690" t="s">
        <v>683</v>
      </c>
      <c r="C38" s="696"/>
      <c r="D38" s="688">
        <f>'[2]总投资-发采购-0411-GLP拆分场外费用(司调)'!G89</f>
        <v>507.92</v>
      </c>
      <c r="E38" s="693">
        <f t="shared" si="2"/>
        <v>71.437412095639942</v>
      </c>
      <c r="F38" s="689">
        <f t="shared" si="0"/>
        <v>71.437412095639942</v>
      </c>
      <c r="G38" s="689">
        <f t="shared" si="1"/>
        <v>507.92</v>
      </c>
      <c r="H38" s="700"/>
      <c r="I38" s="700"/>
      <c r="J38" s="700"/>
      <c r="K38" s="591" t="s">
        <v>180</v>
      </c>
      <c r="L38" s="700"/>
      <c r="M38" s="780"/>
      <c r="N38" s="700"/>
      <c r="O38" s="700"/>
      <c r="P38" s="701"/>
      <c r="Q38" s="701"/>
      <c r="R38" s="701"/>
      <c r="S38" s="701"/>
      <c r="T38" s="708"/>
    </row>
    <row r="39" spans="1:20" hidden="1">
      <c r="A39" s="777"/>
      <c r="B39" s="690" t="s">
        <v>684</v>
      </c>
      <c r="C39" s="696"/>
      <c r="D39" s="688">
        <f>'[2]总投资-发采购-0411-GLP拆分场外费用(司调)'!G90</f>
        <v>1881.04313985413</v>
      </c>
      <c r="E39" s="693">
        <f t="shared" si="2"/>
        <v>264.56302951534877</v>
      </c>
      <c r="F39" s="689">
        <f t="shared" si="0"/>
        <v>264.56302951534877</v>
      </c>
      <c r="G39" s="689">
        <f t="shared" si="1"/>
        <v>1881.04313985413</v>
      </c>
      <c r="H39" s="700"/>
      <c r="I39" s="700"/>
      <c r="J39" s="700"/>
      <c r="K39" s="591" t="s">
        <v>180</v>
      </c>
      <c r="L39" s="700"/>
      <c r="M39" s="780"/>
      <c r="N39" s="700"/>
      <c r="O39" s="700"/>
      <c r="P39" s="701"/>
      <c r="Q39" s="701"/>
      <c r="R39" s="701"/>
      <c r="S39" s="701"/>
      <c r="T39" s="708"/>
    </row>
    <row r="40" spans="1:20" hidden="1">
      <c r="A40" s="777" t="s">
        <v>190</v>
      </c>
      <c r="B40" s="690" t="s">
        <v>685</v>
      </c>
      <c r="C40" s="696"/>
      <c r="D40" s="688">
        <f>'[2]总投资-发采购-0411-GLP拆分场外费用(司调)'!G91</f>
        <v>63</v>
      </c>
      <c r="E40" s="693">
        <f t="shared" si="2"/>
        <v>8.8607594936708853</v>
      </c>
      <c r="F40" s="689">
        <f t="shared" si="0"/>
        <v>8.8607594936708853</v>
      </c>
      <c r="G40" s="689">
        <f t="shared" si="1"/>
        <v>63</v>
      </c>
      <c r="H40" s="700"/>
      <c r="I40" s="700"/>
      <c r="J40" s="700"/>
      <c r="K40" s="591" t="s">
        <v>180</v>
      </c>
      <c r="L40" s="700"/>
      <c r="M40" s="780"/>
      <c r="N40" s="700"/>
      <c r="O40" s="700"/>
      <c r="P40" s="701"/>
      <c r="Q40" s="701"/>
      <c r="R40" s="701"/>
      <c r="S40" s="701"/>
      <c r="T40" s="708"/>
    </row>
    <row r="41" spans="1:20" hidden="1">
      <c r="A41" s="777"/>
      <c r="B41" s="690" t="s">
        <v>686</v>
      </c>
      <c r="C41" s="696"/>
      <c r="D41" s="688">
        <f>'[2]总投资-发采购-0411-GLP拆分场外费用(司调)'!G92</f>
        <v>1</v>
      </c>
      <c r="E41" s="693">
        <f t="shared" si="2"/>
        <v>0.14064697609001406</v>
      </c>
      <c r="F41" s="689">
        <f t="shared" si="0"/>
        <v>0.14064697609001406</v>
      </c>
      <c r="G41" s="689">
        <f t="shared" si="1"/>
        <v>1</v>
      </c>
      <c r="H41" s="700"/>
      <c r="I41" s="700"/>
      <c r="J41" s="700"/>
      <c r="K41" s="591" t="s">
        <v>180</v>
      </c>
      <c r="L41" s="700"/>
      <c r="M41" s="780"/>
      <c r="N41" s="700"/>
      <c r="O41" s="700"/>
      <c r="P41" s="701"/>
      <c r="Q41" s="701"/>
      <c r="R41" s="701"/>
      <c r="S41" s="701"/>
      <c r="T41" s="708"/>
    </row>
    <row r="42" spans="1:20" hidden="1">
      <c r="A42" s="777"/>
      <c r="B42" s="690" t="s">
        <v>687</v>
      </c>
      <c r="C42" s="696"/>
      <c r="D42" s="688">
        <f>'[2]总投资-发采购-0411-GLP拆分场外费用(司调)'!G93</f>
        <v>11</v>
      </c>
      <c r="E42" s="693">
        <f t="shared" si="2"/>
        <v>1.5471167369901546</v>
      </c>
      <c r="F42" s="689">
        <f t="shared" si="0"/>
        <v>1.5471167369901546</v>
      </c>
      <c r="G42" s="689">
        <f t="shared" si="1"/>
        <v>11</v>
      </c>
      <c r="H42" s="700"/>
      <c r="I42" s="700"/>
      <c r="J42" s="700"/>
      <c r="K42" s="591" t="s">
        <v>180</v>
      </c>
      <c r="L42" s="700"/>
      <c r="M42" s="780"/>
      <c r="N42" s="700"/>
      <c r="O42" s="700"/>
      <c r="P42" s="701"/>
      <c r="Q42" s="701"/>
      <c r="R42" s="701"/>
      <c r="S42" s="701"/>
      <c r="T42" s="708"/>
    </row>
    <row r="43" spans="1:20" hidden="1">
      <c r="A43" s="777"/>
      <c r="B43" s="690" t="s">
        <v>688</v>
      </c>
      <c r="C43" s="696"/>
      <c r="D43" s="688">
        <f>'[2]总投资-发采购-0411-GLP拆分场外费用(司调)'!G94</f>
        <v>51</v>
      </c>
      <c r="E43" s="693">
        <f t="shared" si="2"/>
        <v>7.1729957805907167</v>
      </c>
      <c r="F43" s="689">
        <f t="shared" si="0"/>
        <v>7.1729957805907167</v>
      </c>
      <c r="G43" s="689">
        <f t="shared" si="1"/>
        <v>51</v>
      </c>
      <c r="H43" s="700"/>
      <c r="I43" s="700"/>
      <c r="J43" s="700"/>
      <c r="K43" s="591" t="s">
        <v>180</v>
      </c>
      <c r="L43" s="700"/>
      <c r="M43" s="780"/>
      <c r="N43" s="700"/>
      <c r="O43" s="700"/>
      <c r="P43" s="701"/>
      <c r="Q43" s="701"/>
      <c r="R43" s="701"/>
      <c r="S43" s="701"/>
      <c r="T43" s="708"/>
    </row>
    <row r="44" spans="1:20" ht="26.4">
      <c r="A44" s="775" t="s">
        <v>26</v>
      </c>
      <c r="B44" s="683" t="s">
        <v>701</v>
      </c>
      <c r="C44" s="683" t="s">
        <v>702</v>
      </c>
      <c r="D44" s="684">
        <f>SUM('[2]总投资-发采购-0411-GLP拆分场外费用(司调)'!G173,'[2]总投资-发采购-0411-GLP拆分场外费用(司调)'!G186,'[2]总投资-发采购-0411-GLP拆分场外费用(司调)'!G202)</f>
        <v>25772.963395329403</v>
      </c>
      <c r="E44" s="695">
        <f t="shared" si="2"/>
        <v>3624.889366431702</v>
      </c>
      <c r="F44" s="685">
        <f t="shared" si="0"/>
        <v>3624.889366431702</v>
      </c>
      <c r="G44" s="685">
        <f t="shared" si="1"/>
        <v>25772.963395329403</v>
      </c>
      <c r="H44" s="606" t="s">
        <v>133</v>
      </c>
      <c r="I44" s="606" t="s">
        <v>30</v>
      </c>
      <c r="J44" s="606">
        <v>18</v>
      </c>
      <c r="K44" s="591" t="s">
        <v>180</v>
      </c>
      <c r="L44" s="606" t="s">
        <v>135</v>
      </c>
      <c r="M44" s="780"/>
      <c r="N44" s="606"/>
      <c r="O44" s="606"/>
      <c r="P44" s="698">
        <v>2025.3</v>
      </c>
      <c r="Q44" s="698">
        <v>2025.4</v>
      </c>
      <c r="R44" s="698" t="s">
        <v>136</v>
      </c>
      <c r="S44" s="698">
        <v>2026.12</v>
      </c>
      <c r="T44" s="697"/>
    </row>
    <row r="45" spans="1:20" hidden="1">
      <c r="A45" s="778">
        <v>2.15</v>
      </c>
      <c r="B45" s="690" t="s">
        <v>703</v>
      </c>
      <c r="C45" s="687"/>
      <c r="D45" s="688">
        <f>'[2]总投资-发采购-0411-GLP拆分场外费用(司调)'!G173</f>
        <v>11277.360138763701</v>
      </c>
      <c r="E45" s="693">
        <f t="shared" ref="E45:E71" si="3">D45/$A$3</f>
        <v>1586.1266017951759</v>
      </c>
      <c r="F45" s="689">
        <f t="shared" si="0"/>
        <v>1586.1266017951759</v>
      </c>
      <c r="G45" s="689">
        <f t="shared" si="1"/>
        <v>11277.360138763701</v>
      </c>
      <c r="H45" s="686" t="s">
        <v>704</v>
      </c>
      <c r="I45" s="686" t="s">
        <v>30</v>
      </c>
      <c r="J45" s="686" t="s">
        <v>705</v>
      </c>
      <c r="K45" s="707" t="s">
        <v>706</v>
      </c>
      <c r="L45" s="686" t="s">
        <v>707</v>
      </c>
      <c r="M45" s="780"/>
      <c r="N45" s="686"/>
      <c r="O45" s="686"/>
      <c r="P45" s="699">
        <v>2025.3</v>
      </c>
      <c r="Q45" s="699">
        <v>2025.4</v>
      </c>
      <c r="R45" s="699" t="s">
        <v>136</v>
      </c>
      <c r="S45" s="699">
        <v>2026.12</v>
      </c>
      <c r="T45" s="707"/>
    </row>
    <row r="46" spans="1:20" hidden="1">
      <c r="A46" s="777" t="s">
        <v>198</v>
      </c>
      <c r="B46" s="690" t="s">
        <v>677</v>
      </c>
      <c r="C46" s="687"/>
      <c r="D46" s="688">
        <f>'[2]总投资-发采购-0411-GLP拆分场外费用(司调)'!G174</f>
        <v>8671.0150149573092</v>
      </c>
      <c r="E46" s="693">
        <f t="shared" si="3"/>
        <v>1219.5520414848536</v>
      </c>
      <c r="F46" s="689">
        <f t="shared" si="0"/>
        <v>1219.5520414848536</v>
      </c>
      <c r="G46" s="689">
        <f t="shared" si="1"/>
        <v>8671.0150149573092</v>
      </c>
      <c r="H46" s="686" t="s">
        <v>704</v>
      </c>
      <c r="I46" s="686" t="s">
        <v>30</v>
      </c>
      <c r="J46" s="686" t="s">
        <v>705</v>
      </c>
      <c r="K46" s="707" t="s">
        <v>706</v>
      </c>
      <c r="L46" s="686" t="s">
        <v>707</v>
      </c>
      <c r="M46" s="780"/>
      <c r="N46" s="686"/>
      <c r="O46" s="686"/>
      <c r="P46" s="699">
        <v>2025.3</v>
      </c>
      <c r="Q46" s="699">
        <v>2025.4</v>
      </c>
      <c r="R46" s="699" t="s">
        <v>136</v>
      </c>
      <c r="S46" s="699">
        <v>2026.12</v>
      </c>
      <c r="T46" s="707"/>
    </row>
    <row r="47" spans="1:20" hidden="1">
      <c r="A47" s="777" t="s">
        <v>199</v>
      </c>
      <c r="B47" s="690" t="s">
        <v>678</v>
      </c>
      <c r="C47" s="687"/>
      <c r="D47" s="688">
        <f>'[2]总投资-发采购-0411-GLP拆分场外费用(司调)'!G175</f>
        <v>29.26848</v>
      </c>
      <c r="E47" s="693">
        <f t="shared" si="3"/>
        <v>4.1165232067510544</v>
      </c>
      <c r="F47" s="689">
        <f t="shared" si="0"/>
        <v>4.1165232067510544</v>
      </c>
      <c r="G47" s="689">
        <f t="shared" si="1"/>
        <v>29.26848</v>
      </c>
      <c r="H47" s="686" t="s">
        <v>704</v>
      </c>
      <c r="I47" s="686" t="s">
        <v>30</v>
      </c>
      <c r="J47" s="686" t="s">
        <v>705</v>
      </c>
      <c r="K47" s="707" t="s">
        <v>706</v>
      </c>
      <c r="L47" s="686" t="s">
        <v>707</v>
      </c>
      <c r="M47" s="780"/>
      <c r="N47" s="686"/>
      <c r="O47" s="686"/>
      <c r="P47" s="699">
        <v>2025.3</v>
      </c>
      <c r="Q47" s="699">
        <v>2025.4</v>
      </c>
      <c r="R47" s="699" t="s">
        <v>136</v>
      </c>
      <c r="S47" s="699">
        <v>2026.12</v>
      </c>
      <c r="T47" s="707"/>
    </row>
    <row r="48" spans="1:20" hidden="1">
      <c r="A48" s="777" t="s">
        <v>200</v>
      </c>
      <c r="B48" s="690" t="s">
        <v>679</v>
      </c>
      <c r="C48" s="687"/>
      <c r="D48" s="688">
        <f>'[2]总投资-发采购-0411-GLP拆分场外费用(司调)'!G176</f>
        <v>263.41631999999998</v>
      </c>
      <c r="E48" s="693">
        <f t="shared" si="3"/>
        <v>37.04870886075949</v>
      </c>
      <c r="F48" s="689">
        <f t="shared" si="0"/>
        <v>37.04870886075949</v>
      </c>
      <c r="G48" s="689">
        <f t="shared" si="1"/>
        <v>263.41631999999998</v>
      </c>
      <c r="H48" s="686" t="s">
        <v>704</v>
      </c>
      <c r="I48" s="686" t="s">
        <v>30</v>
      </c>
      <c r="J48" s="686" t="s">
        <v>705</v>
      </c>
      <c r="K48" s="707" t="s">
        <v>706</v>
      </c>
      <c r="L48" s="686" t="s">
        <v>707</v>
      </c>
      <c r="M48" s="780"/>
      <c r="N48" s="686"/>
      <c r="O48" s="686"/>
      <c r="P48" s="699">
        <v>2025.3</v>
      </c>
      <c r="Q48" s="699">
        <v>2025.4</v>
      </c>
      <c r="R48" s="699" t="s">
        <v>136</v>
      </c>
      <c r="S48" s="699">
        <v>2026.12</v>
      </c>
      <c r="T48" s="707"/>
    </row>
    <row r="49" spans="1:20" hidden="1">
      <c r="A49" s="777" t="s">
        <v>201</v>
      </c>
      <c r="B49" s="690" t="s">
        <v>680</v>
      </c>
      <c r="C49" s="687"/>
      <c r="D49" s="688">
        <f>'[2]总投资-发采购-0411-GLP拆分场外费用(司调)'!G177</f>
        <v>204.87935999999999</v>
      </c>
      <c r="E49" s="693">
        <f t="shared" si="3"/>
        <v>28.815662447257381</v>
      </c>
      <c r="F49" s="689">
        <f t="shared" si="0"/>
        <v>28.815662447257381</v>
      </c>
      <c r="G49" s="689">
        <f t="shared" si="1"/>
        <v>204.87935999999999</v>
      </c>
      <c r="H49" s="686" t="s">
        <v>704</v>
      </c>
      <c r="I49" s="686" t="s">
        <v>30</v>
      </c>
      <c r="J49" s="686" t="s">
        <v>705</v>
      </c>
      <c r="K49" s="707" t="s">
        <v>706</v>
      </c>
      <c r="L49" s="686" t="s">
        <v>707</v>
      </c>
      <c r="M49" s="780"/>
      <c r="N49" s="686"/>
      <c r="O49" s="686"/>
      <c r="P49" s="699">
        <v>2025.3</v>
      </c>
      <c r="Q49" s="699">
        <v>2025.4</v>
      </c>
      <c r="R49" s="699" t="s">
        <v>136</v>
      </c>
      <c r="S49" s="699">
        <v>2026.12</v>
      </c>
      <c r="T49" s="707"/>
    </row>
    <row r="50" spans="1:20" hidden="1">
      <c r="A50" s="777" t="s">
        <v>202</v>
      </c>
      <c r="B50" s="690" t="s">
        <v>681</v>
      </c>
      <c r="C50" s="687"/>
      <c r="D50" s="688">
        <f>'[2]总投资-发采购-0411-GLP拆分场外费用(司调)'!G178</f>
        <v>453.66144000000003</v>
      </c>
      <c r="E50" s="693">
        <f t="shared" si="3"/>
        <v>63.806109704641351</v>
      </c>
      <c r="F50" s="689">
        <f t="shared" si="0"/>
        <v>63.806109704641351</v>
      </c>
      <c r="G50" s="689">
        <f t="shared" si="1"/>
        <v>453.66144000000003</v>
      </c>
      <c r="H50" s="686" t="s">
        <v>704</v>
      </c>
      <c r="I50" s="686" t="s">
        <v>30</v>
      </c>
      <c r="J50" s="686" t="s">
        <v>705</v>
      </c>
      <c r="K50" s="707" t="s">
        <v>706</v>
      </c>
      <c r="L50" s="686" t="s">
        <v>707</v>
      </c>
      <c r="M50" s="780"/>
      <c r="N50" s="686"/>
      <c r="O50" s="686"/>
      <c r="P50" s="699">
        <v>2025.3</v>
      </c>
      <c r="Q50" s="699">
        <v>2025.4</v>
      </c>
      <c r="R50" s="699" t="s">
        <v>136</v>
      </c>
      <c r="S50" s="699">
        <v>2026.12</v>
      </c>
      <c r="T50" s="707"/>
    </row>
    <row r="51" spans="1:20" hidden="1">
      <c r="A51" s="777" t="s">
        <v>203</v>
      </c>
      <c r="B51" s="690" t="s">
        <v>682</v>
      </c>
      <c r="C51" s="687"/>
      <c r="D51" s="688">
        <f>'[2]总投资-发采购-0411-GLP拆分场外费用(司调)'!G179</f>
        <v>125.01274900539801</v>
      </c>
      <c r="E51" s="693">
        <f t="shared" si="3"/>
        <v>17.582665120309141</v>
      </c>
      <c r="F51" s="689">
        <f t="shared" si="0"/>
        <v>17.582665120309141</v>
      </c>
      <c r="G51" s="689">
        <f t="shared" si="1"/>
        <v>125.01274900539801</v>
      </c>
      <c r="H51" s="686" t="s">
        <v>704</v>
      </c>
      <c r="I51" s="686" t="s">
        <v>30</v>
      </c>
      <c r="J51" s="686" t="s">
        <v>705</v>
      </c>
      <c r="K51" s="707" t="s">
        <v>706</v>
      </c>
      <c r="L51" s="686" t="s">
        <v>707</v>
      </c>
      <c r="M51" s="780"/>
      <c r="N51" s="686"/>
      <c r="O51" s="686"/>
      <c r="P51" s="699">
        <v>2025.3</v>
      </c>
      <c r="Q51" s="699">
        <v>2025.4</v>
      </c>
      <c r="R51" s="699" t="s">
        <v>136</v>
      </c>
      <c r="S51" s="699">
        <v>2026.12</v>
      </c>
      <c r="T51" s="707"/>
    </row>
    <row r="52" spans="1:20" hidden="1">
      <c r="A52" s="777" t="s">
        <v>204</v>
      </c>
      <c r="B52" s="690" t="s">
        <v>683</v>
      </c>
      <c r="C52" s="687"/>
      <c r="D52" s="688">
        <f>'[2]总投资-发采购-0411-GLP拆分场外费用(司调)'!G180</f>
        <v>457.32</v>
      </c>
      <c r="E52" s="693">
        <f t="shared" si="3"/>
        <v>64.320675105485222</v>
      </c>
      <c r="F52" s="689">
        <f t="shared" si="0"/>
        <v>64.320675105485222</v>
      </c>
      <c r="G52" s="689">
        <f t="shared" si="1"/>
        <v>457.32</v>
      </c>
      <c r="H52" s="686" t="s">
        <v>704</v>
      </c>
      <c r="I52" s="686" t="s">
        <v>30</v>
      </c>
      <c r="J52" s="686" t="s">
        <v>705</v>
      </c>
      <c r="K52" s="707" t="s">
        <v>706</v>
      </c>
      <c r="L52" s="686" t="s">
        <v>707</v>
      </c>
      <c r="M52" s="780"/>
      <c r="N52" s="686"/>
      <c r="O52" s="686"/>
      <c r="P52" s="699">
        <v>2025.3</v>
      </c>
      <c r="Q52" s="699">
        <v>2025.4</v>
      </c>
      <c r="R52" s="699" t="s">
        <v>136</v>
      </c>
      <c r="S52" s="699">
        <v>2026.12</v>
      </c>
      <c r="T52" s="707"/>
    </row>
    <row r="53" spans="1:20" hidden="1">
      <c r="A53" s="777"/>
      <c r="B53" s="779" t="s">
        <v>205</v>
      </c>
      <c r="C53" s="687"/>
      <c r="D53" s="688">
        <f>'[2]总投资-发采购-0411-GLP拆分场外费用(司调)'!G181</f>
        <v>1015.78677480099</v>
      </c>
      <c r="E53" s="693">
        <f t="shared" si="3"/>
        <v>142.86733822798732</v>
      </c>
      <c r="F53" s="689">
        <f t="shared" si="0"/>
        <v>142.86733822798732</v>
      </c>
      <c r="G53" s="689">
        <f t="shared" si="1"/>
        <v>1015.78677480099</v>
      </c>
      <c r="H53" s="686"/>
      <c r="I53" s="686"/>
      <c r="J53" s="686"/>
      <c r="K53" s="707"/>
      <c r="L53" s="686"/>
      <c r="M53" s="780"/>
      <c r="N53" s="686"/>
      <c r="O53" s="686"/>
      <c r="P53" s="699"/>
      <c r="Q53" s="699"/>
      <c r="R53" s="699"/>
      <c r="S53" s="699"/>
      <c r="T53" s="707"/>
    </row>
    <row r="54" spans="1:20" hidden="1">
      <c r="A54" s="777" t="s">
        <v>206</v>
      </c>
      <c r="B54" s="690" t="s">
        <v>685</v>
      </c>
      <c r="C54" s="687"/>
      <c r="D54" s="688">
        <f>'[2]总投资-发采购-0411-GLP拆分场外费用(司调)'!G182</f>
        <v>57</v>
      </c>
      <c r="E54" s="693">
        <f t="shared" si="3"/>
        <v>8.0168776371308006</v>
      </c>
      <c r="F54" s="689">
        <f t="shared" si="0"/>
        <v>8.0168776371308006</v>
      </c>
      <c r="G54" s="689">
        <f t="shared" si="1"/>
        <v>57</v>
      </c>
      <c r="H54" s="686" t="s">
        <v>704</v>
      </c>
      <c r="I54" s="686" t="s">
        <v>30</v>
      </c>
      <c r="J54" s="686" t="s">
        <v>705</v>
      </c>
      <c r="K54" s="707" t="s">
        <v>706</v>
      </c>
      <c r="L54" s="686" t="s">
        <v>707</v>
      </c>
      <c r="M54" s="780"/>
      <c r="N54" s="686"/>
      <c r="O54" s="686"/>
      <c r="P54" s="699">
        <v>2025.3</v>
      </c>
      <c r="Q54" s="699">
        <v>2025.4</v>
      </c>
      <c r="R54" s="699" t="s">
        <v>136</v>
      </c>
      <c r="S54" s="699">
        <v>2026.12</v>
      </c>
      <c r="T54" s="707"/>
    </row>
    <row r="55" spans="1:20" hidden="1">
      <c r="A55" s="778"/>
      <c r="B55" s="690" t="s">
        <v>686</v>
      </c>
      <c r="C55" s="687"/>
      <c r="D55" s="688">
        <f>'[2]总投资-发采购-0411-GLP拆分场外费用(司调)'!G183</f>
        <v>1</v>
      </c>
      <c r="E55" s="693">
        <f t="shared" si="3"/>
        <v>0.14064697609001406</v>
      </c>
      <c r="F55" s="689">
        <f t="shared" si="0"/>
        <v>0.14064697609001406</v>
      </c>
      <c r="G55" s="689">
        <f t="shared" si="1"/>
        <v>1</v>
      </c>
      <c r="H55" s="686" t="s">
        <v>704</v>
      </c>
      <c r="I55" s="686" t="s">
        <v>30</v>
      </c>
      <c r="J55" s="686" t="s">
        <v>705</v>
      </c>
      <c r="K55" s="707" t="s">
        <v>706</v>
      </c>
      <c r="L55" s="686" t="s">
        <v>707</v>
      </c>
      <c r="M55" s="780"/>
      <c r="N55" s="686"/>
      <c r="O55" s="686"/>
      <c r="P55" s="699">
        <v>2025.3</v>
      </c>
      <c r="Q55" s="699">
        <v>2025.4</v>
      </c>
      <c r="R55" s="699" t="s">
        <v>136</v>
      </c>
      <c r="S55" s="699">
        <v>2026.12</v>
      </c>
      <c r="T55" s="707"/>
    </row>
    <row r="56" spans="1:20" hidden="1">
      <c r="A56" s="778"/>
      <c r="B56" s="690" t="s">
        <v>687</v>
      </c>
      <c r="C56" s="687"/>
      <c r="D56" s="688">
        <f>'[2]总投资-发采购-0411-GLP拆分场外费用(司调)'!G184</f>
        <v>9</v>
      </c>
      <c r="E56" s="693">
        <f t="shared" si="3"/>
        <v>1.2658227848101264</v>
      </c>
      <c r="F56" s="689">
        <f t="shared" si="0"/>
        <v>1.2658227848101264</v>
      </c>
      <c r="G56" s="689">
        <f t="shared" si="1"/>
        <v>9</v>
      </c>
      <c r="H56" s="686" t="s">
        <v>704</v>
      </c>
      <c r="I56" s="686" t="s">
        <v>30</v>
      </c>
      <c r="J56" s="686" t="s">
        <v>705</v>
      </c>
      <c r="K56" s="707" t="s">
        <v>706</v>
      </c>
      <c r="L56" s="686" t="s">
        <v>707</v>
      </c>
      <c r="M56" s="780"/>
      <c r="N56" s="686"/>
      <c r="O56" s="686"/>
      <c r="P56" s="699">
        <v>2025.3</v>
      </c>
      <c r="Q56" s="699">
        <v>2025.4</v>
      </c>
      <c r="R56" s="699" t="s">
        <v>136</v>
      </c>
      <c r="S56" s="699">
        <v>2026.12</v>
      </c>
      <c r="T56" s="707"/>
    </row>
    <row r="57" spans="1:20" hidden="1">
      <c r="A57" s="778"/>
      <c r="B57" s="690" t="s">
        <v>688</v>
      </c>
      <c r="C57" s="687"/>
      <c r="D57" s="688">
        <f>'[2]总投资-发采购-0411-GLP拆分场外费用(司调)'!G185</f>
        <v>47</v>
      </c>
      <c r="E57" s="693">
        <f t="shared" si="3"/>
        <v>6.6104078762306608</v>
      </c>
      <c r="F57" s="689">
        <f t="shared" si="0"/>
        <v>6.6104078762306608</v>
      </c>
      <c r="G57" s="689">
        <f t="shared" si="1"/>
        <v>47</v>
      </c>
      <c r="H57" s="686" t="s">
        <v>704</v>
      </c>
      <c r="I57" s="686" t="s">
        <v>30</v>
      </c>
      <c r="J57" s="686" t="s">
        <v>705</v>
      </c>
      <c r="K57" s="707" t="s">
        <v>706</v>
      </c>
      <c r="L57" s="686" t="s">
        <v>707</v>
      </c>
      <c r="M57" s="780"/>
      <c r="N57" s="686"/>
      <c r="O57" s="686"/>
      <c r="P57" s="699">
        <v>2025.3</v>
      </c>
      <c r="Q57" s="699">
        <v>2025.4</v>
      </c>
      <c r="R57" s="699" t="s">
        <v>136</v>
      </c>
      <c r="S57" s="699">
        <v>2026.12</v>
      </c>
      <c r="T57" s="707"/>
    </row>
    <row r="58" spans="1:20" hidden="1">
      <c r="A58" s="778">
        <v>2.16</v>
      </c>
      <c r="B58" s="690" t="s">
        <v>708</v>
      </c>
      <c r="C58" s="687"/>
      <c r="D58" s="688">
        <f>'[2]总投资-发采购-0411-GLP拆分场外费用(司调)'!G173</f>
        <v>11277.360138763701</v>
      </c>
      <c r="E58" s="693">
        <f t="shared" si="3"/>
        <v>1586.1266017951759</v>
      </c>
      <c r="F58" s="689">
        <f t="shared" si="0"/>
        <v>1586.1266017951759</v>
      </c>
      <c r="G58" s="689">
        <f t="shared" si="1"/>
        <v>11277.360138763701</v>
      </c>
      <c r="H58" s="686" t="s">
        <v>704</v>
      </c>
      <c r="I58" s="686" t="s">
        <v>30</v>
      </c>
      <c r="J58" s="686" t="s">
        <v>705</v>
      </c>
      <c r="K58" s="707" t="s">
        <v>706</v>
      </c>
      <c r="L58" s="686" t="s">
        <v>707</v>
      </c>
      <c r="M58" s="780"/>
      <c r="N58" s="686"/>
      <c r="O58" s="686"/>
      <c r="P58" s="699">
        <v>2025.3</v>
      </c>
      <c r="Q58" s="699">
        <v>2025.4</v>
      </c>
      <c r="R58" s="699" t="s">
        <v>136</v>
      </c>
      <c r="S58" s="699">
        <v>2026.12</v>
      </c>
      <c r="T58" s="707"/>
    </row>
    <row r="59" spans="1:20" hidden="1">
      <c r="A59" s="777" t="s">
        <v>208</v>
      </c>
      <c r="B59" s="690" t="s">
        <v>677</v>
      </c>
      <c r="C59" s="687"/>
      <c r="D59" s="688">
        <f>'[2]总投资-发采购-0411-GLP拆分场外费用(司调)'!G174</f>
        <v>8671.0150149573092</v>
      </c>
      <c r="E59" s="693">
        <f t="shared" si="3"/>
        <v>1219.5520414848536</v>
      </c>
      <c r="F59" s="689">
        <f t="shared" si="0"/>
        <v>1219.5520414848536</v>
      </c>
      <c r="G59" s="689">
        <f t="shared" si="1"/>
        <v>8671.0150149573092</v>
      </c>
      <c r="H59" s="686" t="s">
        <v>704</v>
      </c>
      <c r="I59" s="686" t="s">
        <v>30</v>
      </c>
      <c r="J59" s="686" t="s">
        <v>705</v>
      </c>
      <c r="K59" s="707" t="s">
        <v>706</v>
      </c>
      <c r="L59" s="686" t="s">
        <v>707</v>
      </c>
      <c r="M59" s="780"/>
      <c r="N59" s="686"/>
      <c r="O59" s="686"/>
      <c r="P59" s="699">
        <v>2025.3</v>
      </c>
      <c r="Q59" s="699">
        <v>2025.4</v>
      </c>
      <c r="R59" s="699" t="s">
        <v>136</v>
      </c>
      <c r="S59" s="699">
        <v>2026.12</v>
      </c>
      <c r="T59" s="707"/>
    </row>
    <row r="60" spans="1:20" hidden="1">
      <c r="A60" s="777" t="s">
        <v>209</v>
      </c>
      <c r="B60" s="690" t="s">
        <v>678</v>
      </c>
      <c r="C60" s="687"/>
      <c r="D60" s="688">
        <f>'[2]总投资-发采购-0411-GLP拆分场外费用(司调)'!G175</f>
        <v>29.26848</v>
      </c>
      <c r="E60" s="693">
        <f t="shared" si="3"/>
        <v>4.1165232067510544</v>
      </c>
      <c r="F60" s="689">
        <f t="shared" si="0"/>
        <v>4.1165232067510544</v>
      </c>
      <c r="G60" s="689">
        <f t="shared" si="1"/>
        <v>29.26848</v>
      </c>
      <c r="H60" s="686" t="s">
        <v>704</v>
      </c>
      <c r="I60" s="686" t="s">
        <v>30</v>
      </c>
      <c r="J60" s="686" t="s">
        <v>705</v>
      </c>
      <c r="K60" s="707" t="s">
        <v>706</v>
      </c>
      <c r="L60" s="686" t="s">
        <v>707</v>
      </c>
      <c r="M60" s="780"/>
      <c r="N60" s="686"/>
      <c r="O60" s="686"/>
      <c r="P60" s="699">
        <v>2025.3</v>
      </c>
      <c r="Q60" s="699">
        <v>2025.4</v>
      </c>
      <c r="R60" s="699" t="s">
        <v>136</v>
      </c>
      <c r="S60" s="699">
        <v>2026.12</v>
      </c>
      <c r="T60" s="707"/>
    </row>
    <row r="61" spans="1:20" hidden="1">
      <c r="A61" s="777" t="s">
        <v>210</v>
      </c>
      <c r="B61" s="690" t="s">
        <v>679</v>
      </c>
      <c r="C61" s="687"/>
      <c r="D61" s="688">
        <f>'[2]总投资-发采购-0411-GLP拆分场外费用(司调)'!G176</f>
        <v>263.41631999999998</v>
      </c>
      <c r="E61" s="693">
        <f t="shared" si="3"/>
        <v>37.04870886075949</v>
      </c>
      <c r="F61" s="689">
        <f t="shared" si="0"/>
        <v>37.04870886075949</v>
      </c>
      <c r="G61" s="689">
        <f t="shared" si="1"/>
        <v>263.41631999999998</v>
      </c>
      <c r="H61" s="686" t="s">
        <v>704</v>
      </c>
      <c r="I61" s="686" t="s">
        <v>30</v>
      </c>
      <c r="J61" s="686" t="s">
        <v>705</v>
      </c>
      <c r="K61" s="707" t="s">
        <v>706</v>
      </c>
      <c r="L61" s="686" t="s">
        <v>707</v>
      </c>
      <c r="M61" s="780"/>
      <c r="N61" s="686"/>
      <c r="O61" s="686"/>
      <c r="P61" s="699">
        <v>2025.3</v>
      </c>
      <c r="Q61" s="699">
        <v>2025.4</v>
      </c>
      <c r="R61" s="699" t="s">
        <v>136</v>
      </c>
      <c r="S61" s="699">
        <v>2026.12</v>
      </c>
      <c r="T61" s="707"/>
    </row>
    <row r="62" spans="1:20" hidden="1">
      <c r="A62" s="777" t="s">
        <v>211</v>
      </c>
      <c r="B62" s="690" t="s">
        <v>680</v>
      </c>
      <c r="C62" s="687"/>
      <c r="D62" s="688">
        <f>'[2]总投资-发采购-0411-GLP拆分场外费用(司调)'!G177</f>
        <v>204.87935999999999</v>
      </c>
      <c r="E62" s="693">
        <f t="shared" si="3"/>
        <v>28.815662447257381</v>
      </c>
      <c r="F62" s="689">
        <f t="shared" si="0"/>
        <v>28.815662447257381</v>
      </c>
      <c r="G62" s="689">
        <f t="shared" si="1"/>
        <v>204.87935999999999</v>
      </c>
      <c r="H62" s="686" t="s">
        <v>704</v>
      </c>
      <c r="I62" s="686" t="s">
        <v>30</v>
      </c>
      <c r="J62" s="686" t="s">
        <v>705</v>
      </c>
      <c r="K62" s="707" t="s">
        <v>706</v>
      </c>
      <c r="L62" s="686" t="s">
        <v>707</v>
      </c>
      <c r="M62" s="780"/>
      <c r="N62" s="686"/>
      <c r="O62" s="686"/>
      <c r="P62" s="699">
        <v>2025.3</v>
      </c>
      <c r="Q62" s="699">
        <v>2025.4</v>
      </c>
      <c r="R62" s="699" t="s">
        <v>136</v>
      </c>
      <c r="S62" s="699">
        <v>2026.12</v>
      </c>
      <c r="T62" s="707"/>
    </row>
    <row r="63" spans="1:20" hidden="1">
      <c r="A63" s="777" t="s">
        <v>212</v>
      </c>
      <c r="B63" s="690" t="s">
        <v>681</v>
      </c>
      <c r="C63" s="687"/>
      <c r="D63" s="688">
        <f>'[2]总投资-发采购-0411-GLP拆分场外费用(司调)'!G178</f>
        <v>453.66144000000003</v>
      </c>
      <c r="E63" s="693">
        <f t="shared" si="3"/>
        <v>63.806109704641351</v>
      </c>
      <c r="F63" s="689">
        <f t="shared" si="0"/>
        <v>63.806109704641351</v>
      </c>
      <c r="G63" s="689">
        <f t="shared" si="1"/>
        <v>453.66144000000003</v>
      </c>
      <c r="H63" s="686" t="s">
        <v>704</v>
      </c>
      <c r="I63" s="686" t="s">
        <v>30</v>
      </c>
      <c r="J63" s="686" t="s">
        <v>705</v>
      </c>
      <c r="K63" s="707" t="s">
        <v>706</v>
      </c>
      <c r="L63" s="686" t="s">
        <v>707</v>
      </c>
      <c r="M63" s="780"/>
      <c r="N63" s="686"/>
      <c r="O63" s="686"/>
      <c r="P63" s="699">
        <v>2025.3</v>
      </c>
      <c r="Q63" s="699">
        <v>2025.4</v>
      </c>
      <c r="R63" s="699" t="s">
        <v>136</v>
      </c>
      <c r="S63" s="699">
        <v>2026.12</v>
      </c>
      <c r="T63" s="707"/>
    </row>
    <row r="64" spans="1:20" hidden="1">
      <c r="A64" s="777" t="s">
        <v>213</v>
      </c>
      <c r="B64" s="690" t="s">
        <v>682</v>
      </c>
      <c r="C64" s="687"/>
      <c r="D64" s="688">
        <f>'[2]总投资-发采购-0411-GLP拆分场外费用(司调)'!G179</f>
        <v>125.01274900539801</v>
      </c>
      <c r="E64" s="693">
        <f t="shared" si="3"/>
        <v>17.582665120309141</v>
      </c>
      <c r="F64" s="689">
        <f t="shared" si="0"/>
        <v>17.582665120309141</v>
      </c>
      <c r="G64" s="689">
        <f t="shared" si="1"/>
        <v>125.01274900539801</v>
      </c>
      <c r="H64" s="686" t="s">
        <v>704</v>
      </c>
      <c r="I64" s="686" t="s">
        <v>30</v>
      </c>
      <c r="J64" s="686" t="s">
        <v>705</v>
      </c>
      <c r="K64" s="707" t="s">
        <v>706</v>
      </c>
      <c r="L64" s="686" t="s">
        <v>707</v>
      </c>
      <c r="M64" s="780"/>
      <c r="N64" s="686"/>
      <c r="O64" s="686"/>
      <c r="P64" s="699">
        <v>2025.3</v>
      </c>
      <c r="Q64" s="699">
        <v>2025.4</v>
      </c>
      <c r="R64" s="699" t="s">
        <v>136</v>
      </c>
      <c r="S64" s="699">
        <v>2026.12</v>
      </c>
      <c r="T64" s="707"/>
    </row>
    <row r="65" spans="1:20" hidden="1">
      <c r="A65" s="777" t="s">
        <v>214</v>
      </c>
      <c r="B65" s="690" t="s">
        <v>683</v>
      </c>
      <c r="C65" s="687"/>
      <c r="D65" s="688">
        <f>'[2]总投资-发采购-0411-GLP拆分场外费用(司调)'!G180</f>
        <v>457.32</v>
      </c>
      <c r="E65" s="693">
        <f t="shared" si="3"/>
        <v>64.320675105485222</v>
      </c>
      <c r="F65" s="689">
        <f t="shared" si="0"/>
        <v>64.320675105485222</v>
      </c>
      <c r="G65" s="689">
        <f t="shared" si="1"/>
        <v>457.32</v>
      </c>
      <c r="H65" s="686" t="s">
        <v>704</v>
      </c>
      <c r="I65" s="686" t="s">
        <v>30</v>
      </c>
      <c r="J65" s="686" t="s">
        <v>705</v>
      </c>
      <c r="K65" s="707" t="s">
        <v>706</v>
      </c>
      <c r="L65" s="686" t="s">
        <v>707</v>
      </c>
      <c r="M65" s="780"/>
      <c r="N65" s="686"/>
      <c r="O65" s="686"/>
      <c r="P65" s="699">
        <v>2025.3</v>
      </c>
      <c r="Q65" s="699">
        <v>2025.4</v>
      </c>
      <c r="R65" s="699" t="s">
        <v>136</v>
      </c>
      <c r="S65" s="699">
        <v>2026.12</v>
      </c>
      <c r="T65" s="707"/>
    </row>
    <row r="66" spans="1:20" hidden="1">
      <c r="A66" s="777"/>
      <c r="B66" s="779" t="s">
        <v>205</v>
      </c>
      <c r="C66" s="687"/>
      <c r="D66" s="688">
        <f>'[2]总投资-发采购-0411-GLP拆分场外费用(司调)'!G181</f>
        <v>1015.78677480099</v>
      </c>
      <c r="E66" s="693">
        <f t="shared" si="3"/>
        <v>142.86733822798732</v>
      </c>
      <c r="F66" s="689">
        <f t="shared" si="0"/>
        <v>142.86733822798732</v>
      </c>
      <c r="G66" s="689">
        <f t="shared" si="1"/>
        <v>1015.78677480099</v>
      </c>
      <c r="H66" s="686"/>
      <c r="I66" s="686"/>
      <c r="J66" s="686"/>
      <c r="K66" s="707"/>
      <c r="L66" s="686"/>
      <c r="M66" s="780"/>
      <c r="N66" s="686"/>
      <c r="O66" s="686"/>
      <c r="P66" s="699"/>
      <c r="Q66" s="699"/>
      <c r="R66" s="699"/>
      <c r="S66" s="699"/>
      <c r="T66" s="707"/>
    </row>
    <row r="67" spans="1:20" hidden="1">
      <c r="A67" s="777" t="s">
        <v>215</v>
      </c>
      <c r="B67" s="690" t="s">
        <v>685</v>
      </c>
      <c r="C67" s="687"/>
      <c r="D67" s="688">
        <f>'[2]总投资-发采购-0411-GLP拆分场外费用(司调)'!G182</f>
        <v>57</v>
      </c>
      <c r="E67" s="693">
        <f t="shared" si="3"/>
        <v>8.0168776371308006</v>
      </c>
      <c r="F67" s="689">
        <f t="shared" si="0"/>
        <v>8.0168776371308006</v>
      </c>
      <c r="G67" s="689">
        <f t="shared" si="1"/>
        <v>57</v>
      </c>
      <c r="H67" s="686" t="s">
        <v>704</v>
      </c>
      <c r="I67" s="686" t="s">
        <v>30</v>
      </c>
      <c r="J67" s="686" t="s">
        <v>705</v>
      </c>
      <c r="K67" s="707" t="s">
        <v>706</v>
      </c>
      <c r="L67" s="686" t="s">
        <v>707</v>
      </c>
      <c r="M67" s="780"/>
      <c r="N67" s="686"/>
      <c r="O67" s="686"/>
      <c r="P67" s="699">
        <v>2025.3</v>
      </c>
      <c r="Q67" s="699">
        <v>2025.4</v>
      </c>
      <c r="R67" s="699" t="s">
        <v>136</v>
      </c>
      <c r="S67" s="699">
        <v>2026.12</v>
      </c>
      <c r="T67" s="707"/>
    </row>
    <row r="68" spans="1:20" hidden="1">
      <c r="A68" s="777"/>
      <c r="B68" s="690" t="s">
        <v>686</v>
      </c>
      <c r="C68" s="687"/>
      <c r="D68" s="688">
        <f>'[2]总投资-发采购-0411-GLP拆分场外费用(司调)'!G183</f>
        <v>1</v>
      </c>
      <c r="E68" s="693">
        <f t="shared" si="3"/>
        <v>0.14064697609001406</v>
      </c>
      <c r="F68" s="689">
        <f t="shared" si="0"/>
        <v>0.14064697609001406</v>
      </c>
      <c r="G68" s="689">
        <f t="shared" si="1"/>
        <v>1</v>
      </c>
      <c r="H68" s="686" t="s">
        <v>704</v>
      </c>
      <c r="I68" s="686" t="s">
        <v>30</v>
      </c>
      <c r="J68" s="686" t="s">
        <v>705</v>
      </c>
      <c r="K68" s="707" t="s">
        <v>706</v>
      </c>
      <c r="L68" s="686" t="s">
        <v>707</v>
      </c>
      <c r="M68" s="780"/>
      <c r="N68" s="686"/>
      <c r="O68" s="686"/>
      <c r="P68" s="699">
        <v>2025.3</v>
      </c>
      <c r="Q68" s="699">
        <v>2025.4</v>
      </c>
      <c r="R68" s="699" t="s">
        <v>136</v>
      </c>
      <c r="S68" s="699">
        <v>2026.12</v>
      </c>
      <c r="T68" s="707"/>
    </row>
    <row r="69" spans="1:20" hidden="1">
      <c r="A69" s="777"/>
      <c r="B69" s="690" t="s">
        <v>687</v>
      </c>
      <c r="C69" s="687"/>
      <c r="D69" s="688">
        <f>'[2]总投资-发采购-0411-GLP拆分场外费用(司调)'!G184</f>
        <v>9</v>
      </c>
      <c r="E69" s="693">
        <f t="shared" si="3"/>
        <v>1.2658227848101264</v>
      </c>
      <c r="F69" s="689">
        <f t="shared" si="0"/>
        <v>1.2658227848101264</v>
      </c>
      <c r="G69" s="689">
        <f t="shared" si="1"/>
        <v>9</v>
      </c>
      <c r="H69" s="686" t="s">
        <v>704</v>
      </c>
      <c r="I69" s="686" t="s">
        <v>30</v>
      </c>
      <c r="J69" s="686" t="s">
        <v>705</v>
      </c>
      <c r="K69" s="707" t="s">
        <v>706</v>
      </c>
      <c r="L69" s="686" t="s">
        <v>707</v>
      </c>
      <c r="M69" s="780"/>
      <c r="N69" s="686"/>
      <c r="O69" s="686"/>
      <c r="P69" s="699">
        <v>2025.3</v>
      </c>
      <c r="Q69" s="699">
        <v>2025.4</v>
      </c>
      <c r="R69" s="699" t="s">
        <v>136</v>
      </c>
      <c r="S69" s="699">
        <v>2026.12</v>
      </c>
      <c r="T69" s="707"/>
    </row>
    <row r="70" spans="1:20" hidden="1">
      <c r="A70" s="777"/>
      <c r="B70" s="690" t="s">
        <v>688</v>
      </c>
      <c r="C70" s="687"/>
      <c r="D70" s="688">
        <f>'[2]总投资-发采购-0411-GLP拆分场外费用(司调)'!G185</f>
        <v>47</v>
      </c>
      <c r="E70" s="693">
        <f t="shared" si="3"/>
        <v>6.6104078762306608</v>
      </c>
      <c r="F70" s="689">
        <f t="shared" si="0"/>
        <v>6.6104078762306608</v>
      </c>
      <c r="G70" s="689">
        <f t="shared" si="1"/>
        <v>47</v>
      </c>
      <c r="H70" s="686" t="s">
        <v>704</v>
      </c>
      <c r="I70" s="686" t="s">
        <v>30</v>
      </c>
      <c r="J70" s="686" t="s">
        <v>705</v>
      </c>
      <c r="K70" s="707" t="s">
        <v>706</v>
      </c>
      <c r="L70" s="686" t="s">
        <v>707</v>
      </c>
      <c r="M70" s="780"/>
      <c r="N70" s="686"/>
      <c r="O70" s="686"/>
      <c r="P70" s="699">
        <v>2025.3</v>
      </c>
      <c r="Q70" s="699">
        <v>2025.4</v>
      </c>
      <c r="R70" s="699" t="s">
        <v>136</v>
      </c>
      <c r="S70" s="699">
        <v>2026.12</v>
      </c>
      <c r="T70" s="707"/>
    </row>
    <row r="71" spans="1:20" hidden="1">
      <c r="A71" s="777" t="s">
        <v>216</v>
      </c>
      <c r="B71" s="690" t="s">
        <v>709</v>
      </c>
      <c r="C71" s="687"/>
      <c r="D71" s="688">
        <f>'[2]总投资-发采购-0411-GLP拆分场外费用(司调)'!G202</f>
        <v>4178.7488000000003</v>
      </c>
      <c r="E71" s="693">
        <f t="shared" si="3"/>
        <v>587.72838255977501</v>
      </c>
      <c r="F71" s="689">
        <f t="shared" si="0"/>
        <v>587.72838255977501</v>
      </c>
      <c r="G71" s="689">
        <f t="shared" si="1"/>
        <v>4178.7488000000003</v>
      </c>
      <c r="H71" s="686"/>
      <c r="I71" s="686"/>
      <c r="J71" s="686"/>
      <c r="K71" s="707"/>
      <c r="L71" s="686"/>
      <c r="M71" s="780"/>
      <c r="N71" s="686"/>
      <c r="O71" s="686"/>
      <c r="P71" s="699"/>
      <c r="Q71" s="699"/>
      <c r="R71" s="699"/>
      <c r="S71" s="699"/>
      <c r="T71" s="707"/>
    </row>
    <row r="72" spans="1:20" hidden="1">
      <c r="A72" s="777" t="s">
        <v>218</v>
      </c>
      <c r="B72" s="690" t="s">
        <v>710</v>
      </c>
      <c r="C72" s="687"/>
      <c r="D72" s="688">
        <f>'[2]总投资-发采购-0411-GLP拆分场外费用(司调)'!G203</f>
        <v>4053.386336</v>
      </c>
      <c r="E72" s="693">
        <f t="shared" ref="E72:E75" si="4">D72/$A$3</f>
        <v>570.09653108298164</v>
      </c>
      <c r="F72" s="689">
        <f t="shared" ref="F72:F143" si="5">E72</f>
        <v>570.09653108298164</v>
      </c>
      <c r="G72" s="689">
        <f t="shared" ref="G72:G135" si="6">D72</f>
        <v>4053.386336</v>
      </c>
      <c r="H72" s="686"/>
      <c r="I72" s="686"/>
      <c r="J72" s="686"/>
      <c r="K72" s="707"/>
      <c r="L72" s="686"/>
      <c r="M72" s="780"/>
      <c r="N72" s="686"/>
      <c r="O72" s="686"/>
      <c r="P72" s="699"/>
      <c r="Q72" s="699"/>
      <c r="R72" s="699"/>
      <c r="S72" s="699"/>
      <c r="T72" s="707"/>
    </row>
    <row r="73" spans="1:20" hidden="1">
      <c r="A73" s="777" t="s">
        <v>220</v>
      </c>
      <c r="B73" s="690" t="s">
        <v>711</v>
      </c>
      <c r="C73" s="687"/>
      <c r="D73" s="688">
        <f>'[2]总投资-发采购-0411-GLP拆分场外费用(司调)'!G204</f>
        <v>125.362464</v>
      </c>
      <c r="E73" s="693">
        <f t="shared" si="4"/>
        <v>17.631851476793248</v>
      </c>
      <c r="F73" s="689">
        <f t="shared" si="5"/>
        <v>17.631851476793248</v>
      </c>
      <c r="G73" s="689">
        <f t="shared" si="6"/>
        <v>125.362464</v>
      </c>
      <c r="H73" s="686"/>
      <c r="I73" s="686"/>
      <c r="J73" s="686"/>
      <c r="K73" s="707"/>
      <c r="L73" s="686"/>
      <c r="M73" s="780"/>
      <c r="N73" s="686"/>
      <c r="O73" s="686"/>
      <c r="P73" s="699"/>
      <c r="Q73" s="699"/>
      <c r="R73" s="699"/>
      <c r="S73" s="699"/>
      <c r="T73" s="707"/>
    </row>
    <row r="74" spans="1:20" ht="39.6">
      <c r="A74" s="775" t="s">
        <v>35</v>
      </c>
      <c r="B74" s="683" t="s">
        <v>712</v>
      </c>
      <c r="C74" s="683" t="s">
        <v>713</v>
      </c>
      <c r="D74" s="684">
        <f>SUM('[2]总投资-发采购-0411-GLP拆分场外费用(司调)'!G108,'[2]总投资-发采购-0411-GLP拆分场外费用(司调)'!G121,'[2]总投资-发采购-0411-GLP拆分场外费用(司调)'!G95,'[2]总投资-发采购-0411-GLP拆分场外费用(司调)'!G199)</f>
        <v>54208.013061394893</v>
      </c>
      <c r="E74" s="695">
        <f t="shared" si="4"/>
        <v>7624.1931169331774</v>
      </c>
      <c r="F74" s="685">
        <f t="shared" si="5"/>
        <v>7624.1931169331774</v>
      </c>
      <c r="G74" s="685">
        <f t="shared" si="6"/>
        <v>54208.013061394893</v>
      </c>
      <c r="H74" s="606" t="s">
        <v>133</v>
      </c>
      <c r="I74" s="606" t="s">
        <v>79</v>
      </c>
      <c r="J74" s="606">
        <v>18</v>
      </c>
      <c r="K74" s="697" t="s">
        <v>224</v>
      </c>
      <c r="L74" s="606" t="s">
        <v>135</v>
      </c>
      <c r="M74" s="780"/>
      <c r="N74" s="606"/>
      <c r="O74" s="606"/>
      <c r="P74" s="698" t="s">
        <v>225</v>
      </c>
      <c r="Q74" s="698" t="s">
        <v>226</v>
      </c>
      <c r="R74" s="698" t="s">
        <v>714</v>
      </c>
      <c r="S74" s="698" t="s">
        <v>228</v>
      </c>
      <c r="T74" s="697"/>
    </row>
    <row r="75" spans="1:20" hidden="1">
      <c r="A75" s="777">
        <v>2.1</v>
      </c>
      <c r="B75" s="690" t="s">
        <v>715</v>
      </c>
      <c r="C75" s="687"/>
      <c r="D75" s="688">
        <f>'[2]总投资-发采购-0411-GLP拆分场外费用(司调)'!G108</f>
        <v>15502.4051499249</v>
      </c>
      <c r="E75" s="693">
        <f t="shared" si="4"/>
        <v>2180.3664064591981</v>
      </c>
      <c r="F75" s="689">
        <f t="shared" si="5"/>
        <v>2180.3664064591981</v>
      </c>
      <c r="G75" s="689">
        <f t="shared" si="6"/>
        <v>15502.4051499249</v>
      </c>
      <c r="H75" s="686"/>
      <c r="I75" s="686"/>
      <c r="J75" s="686"/>
      <c r="K75" s="707"/>
      <c r="L75" s="686"/>
      <c r="M75" s="780"/>
      <c r="N75" s="686"/>
      <c r="O75" s="686"/>
      <c r="P75" s="699"/>
      <c r="Q75" s="699"/>
      <c r="R75" s="699"/>
      <c r="S75" s="699"/>
      <c r="T75" s="707"/>
    </row>
    <row r="76" spans="1:20" hidden="1">
      <c r="A76" s="777" t="s">
        <v>230</v>
      </c>
      <c r="B76" s="690" t="s">
        <v>677</v>
      </c>
      <c r="C76" s="687"/>
      <c r="D76" s="688">
        <f>'[2]总投资-发采购-0411-GLP拆分场外费用(司调)'!G109</f>
        <v>12124.859358359399</v>
      </c>
      <c r="E76" s="693">
        <f t="shared" ref="E76:E113" si="7">D76/$A$3</f>
        <v>1705.3248042699577</v>
      </c>
      <c r="F76" s="689">
        <f t="shared" si="5"/>
        <v>1705.3248042699577</v>
      </c>
      <c r="G76" s="689">
        <f t="shared" si="6"/>
        <v>12124.859358359399</v>
      </c>
      <c r="H76" s="686"/>
      <c r="I76" s="686"/>
      <c r="J76" s="686"/>
      <c r="K76" s="707"/>
      <c r="L76" s="686"/>
      <c r="M76" s="780"/>
      <c r="N76" s="686"/>
      <c r="O76" s="686"/>
      <c r="P76" s="699"/>
      <c r="Q76" s="699"/>
      <c r="R76" s="699"/>
      <c r="S76" s="699"/>
      <c r="T76" s="707"/>
    </row>
    <row r="77" spans="1:20" hidden="1">
      <c r="A77" s="777" t="s">
        <v>231</v>
      </c>
      <c r="B77" s="690" t="s">
        <v>678</v>
      </c>
      <c r="C77" s="687"/>
      <c r="D77" s="688">
        <f>'[2]总投资-发采购-0411-GLP拆分场外费用(司调)'!G110</f>
        <v>40.926720000000003</v>
      </c>
      <c r="E77" s="693">
        <f t="shared" si="7"/>
        <v>5.7562194092827008</v>
      </c>
      <c r="F77" s="689">
        <f t="shared" si="5"/>
        <v>5.7562194092827008</v>
      </c>
      <c r="G77" s="689">
        <f t="shared" si="6"/>
        <v>40.926720000000003</v>
      </c>
      <c r="H77" s="686"/>
      <c r="I77" s="686"/>
      <c r="J77" s="686"/>
      <c r="K77" s="707"/>
      <c r="L77" s="686"/>
      <c r="M77" s="780"/>
      <c r="N77" s="686"/>
      <c r="O77" s="686"/>
      <c r="P77" s="699"/>
      <c r="Q77" s="699"/>
      <c r="R77" s="699"/>
      <c r="S77" s="699"/>
      <c r="T77" s="707"/>
    </row>
    <row r="78" spans="1:20" hidden="1">
      <c r="A78" s="777" t="s">
        <v>232</v>
      </c>
      <c r="B78" s="690" t="s">
        <v>679</v>
      </c>
      <c r="C78" s="687"/>
      <c r="D78" s="688">
        <f>'[2]总投资-发采购-0411-GLP拆分场外费用(司调)'!G111</f>
        <v>368.34048000000001</v>
      </c>
      <c r="E78" s="693">
        <f t="shared" si="7"/>
        <v>51.805974683544306</v>
      </c>
      <c r="F78" s="689">
        <f t="shared" si="5"/>
        <v>51.805974683544306</v>
      </c>
      <c r="G78" s="689">
        <f t="shared" si="6"/>
        <v>368.34048000000001</v>
      </c>
      <c r="H78" s="686"/>
      <c r="I78" s="686"/>
      <c r="J78" s="686"/>
      <c r="K78" s="707"/>
      <c r="L78" s="686"/>
      <c r="M78" s="780"/>
      <c r="N78" s="686"/>
      <c r="O78" s="686"/>
      <c r="P78" s="699"/>
      <c r="Q78" s="699"/>
      <c r="R78" s="699"/>
      <c r="S78" s="699"/>
      <c r="T78" s="707"/>
    </row>
    <row r="79" spans="1:20" hidden="1">
      <c r="A79" s="777" t="s">
        <v>233</v>
      </c>
      <c r="B79" s="690" t="s">
        <v>680</v>
      </c>
      <c r="C79" s="687"/>
      <c r="D79" s="688">
        <f>'[2]总投资-发采购-0411-GLP拆分场外费用(司调)'!G112</f>
        <v>286.48703999999998</v>
      </c>
      <c r="E79" s="693">
        <f t="shared" si="7"/>
        <v>40.293535864978899</v>
      </c>
      <c r="F79" s="689">
        <f t="shared" si="5"/>
        <v>40.293535864978899</v>
      </c>
      <c r="G79" s="689">
        <f t="shared" si="6"/>
        <v>286.48703999999998</v>
      </c>
      <c r="H79" s="686"/>
      <c r="I79" s="686"/>
      <c r="J79" s="686"/>
      <c r="K79" s="707"/>
      <c r="L79" s="686"/>
      <c r="M79" s="780"/>
      <c r="N79" s="686"/>
      <c r="O79" s="686"/>
      <c r="P79" s="699"/>
      <c r="Q79" s="699"/>
      <c r="R79" s="699"/>
      <c r="S79" s="699"/>
      <c r="T79" s="707"/>
    </row>
    <row r="80" spans="1:20" hidden="1">
      <c r="A80" s="777" t="s">
        <v>234</v>
      </c>
      <c r="B80" s="690" t="s">
        <v>681</v>
      </c>
      <c r="C80" s="687"/>
      <c r="D80" s="688">
        <f>'[2]总投资-发采购-0411-GLP拆分场外费用(司调)'!G113</f>
        <v>634.36415999999997</v>
      </c>
      <c r="E80" s="693">
        <f t="shared" si="7"/>
        <v>89.221400843881852</v>
      </c>
      <c r="F80" s="689">
        <f t="shared" si="5"/>
        <v>89.221400843881852</v>
      </c>
      <c r="G80" s="689">
        <f t="shared" si="6"/>
        <v>634.36415999999997</v>
      </c>
      <c r="H80" s="686"/>
      <c r="I80" s="686"/>
      <c r="J80" s="686"/>
      <c r="K80" s="707"/>
      <c r="L80" s="686"/>
      <c r="M80" s="780"/>
      <c r="N80" s="686"/>
      <c r="O80" s="686"/>
      <c r="P80" s="699"/>
      <c r="Q80" s="699"/>
      <c r="R80" s="699"/>
      <c r="S80" s="699"/>
      <c r="T80" s="707"/>
    </row>
    <row r="81" spans="1:20" hidden="1">
      <c r="A81" s="777" t="s">
        <v>235</v>
      </c>
      <c r="B81" s="690" t="s">
        <v>682</v>
      </c>
      <c r="C81" s="687"/>
      <c r="D81" s="688">
        <f>'[2]总投资-发采购-0411-GLP拆分场外费用(司调)'!G114</f>
        <v>174.807908541004</v>
      </c>
      <c r="E81" s="693">
        <f t="shared" si="7"/>
        <v>24.586203732911954</v>
      </c>
      <c r="F81" s="689">
        <f t="shared" si="5"/>
        <v>24.586203732911954</v>
      </c>
      <c r="G81" s="689">
        <f t="shared" si="6"/>
        <v>174.807908541004</v>
      </c>
      <c r="H81" s="686"/>
      <c r="I81" s="686"/>
      <c r="J81" s="686"/>
      <c r="K81" s="707"/>
      <c r="L81" s="686"/>
      <c r="M81" s="780"/>
      <c r="N81" s="686"/>
      <c r="O81" s="686"/>
      <c r="P81" s="699"/>
      <c r="Q81" s="699"/>
      <c r="R81" s="699"/>
      <c r="S81" s="699"/>
      <c r="T81" s="707"/>
    </row>
    <row r="82" spans="1:20" hidden="1">
      <c r="A82" s="777" t="s">
        <v>236</v>
      </c>
      <c r="B82" s="690" t="s">
        <v>683</v>
      </c>
      <c r="C82" s="687"/>
      <c r="D82" s="688">
        <f>'[2]总投资-发采购-0411-GLP拆分场外费用(司调)'!G115</f>
        <v>639.48</v>
      </c>
      <c r="E82" s="693">
        <f t="shared" si="7"/>
        <v>89.940928270042193</v>
      </c>
      <c r="F82" s="689">
        <f t="shared" si="5"/>
        <v>89.940928270042193</v>
      </c>
      <c r="G82" s="689">
        <f t="shared" si="6"/>
        <v>639.48</v>
      </c>
      <c r="H82" s="686"/>
      <c r="I82" s="686"/>
      <c r="J82" s="686"/>
      <c r="K82" s="707"/>
      <c r="L82" s="686"/>
      <c r="M82" s="780"/>
      <c r="N82" s="686"/>
      <c r="O82" s="686"/>
      <c r="P82" s="699"/>
      <c r="Q82" s="699"/>
      <c r="R82" s="699"/>
      <c r="S82" s="699"/>
      <c r="T82" s="707"/>
    </row>
    <row r="83" spans="1:20" hidden="1">
      <c r="A83" s="777"/>
      <c r="B83" s="779" t="s">
        <v>205</v>
      </c>
      <c r="C83" s="687"/>
      <c r="D83" s="688">
        <f>'[2]总投资-发采购-0411-GLP拆分场外费用(司调)'!G116</f>
        <v>1161.1394830245599</v>
      </c>
      <c r="E83" s="693">
        <f t="shared" si="7"/>
        <v>163.31075710612657</v>
      </c>
      <c r="F83" s="689">
        <f t="shared" si="5"/>
        <v>163.31075710612657</v>
      </c>
      <c r="G83" s="689">
        <f t="shared" si="6"/>
        <v>1161.1394830245599</v>
      </c>
      <c r="H83" s="686"/>
      <c r="I83" s="686"/>
      <c r="J83" s="686"/>
      <c r="K83" s="707"/>
      <c r="L83" s="686"/>
      <c r="M83" s="780"/>
      <c r="N83" s="686"/>
      <c r="O83" s="686"/>
      <c r="P83" s="699"/>
      <c r="Q83" s="699"/>
      <c r="R83" s="699"/>
      <c r="S83" s="699"/>
      <c r="T83" s="707"/>
    </row>
    <row r="84" spans="1:20" hidden="1">
      <c r="A84" s="777" t="s">
        <v>237</v>
      </c>
      <c r="B84" s="690" t="s">
        <v>685</v>
      </c>
      <c r="C84" s="687"/>
      <c r="D84" s="688">
        <f>'[2]总投资-发采购-0411-GLP拆分场外费用(司调)'!G117</f>
        <v>72</v>
      </c>
      <c r="E84" s="693">
        <f t="shared" si="7"/>
        <v>10.126582278481012</v>
      </c>
      <c r="F84" s="689">
        <f t="shared" si="5"/>
        <v>10.126582278481012</v>
      </c>
      <c r="G84" s="689">
        <f t="shared" si="6"/>
        <v>72</v>
      </c>
      <c r="H84" s="686"/>
      <c r="I84" s="686"/>
      <c r="J84" s="686"/>
      <c r="K84" s="707"/>
      <c r="L84" s="686"/>
      <c r="M84" s="780"/>
      <c r="N84" s="686"/>
      <c r="O84" s="686"/>
      <c r="P84" s="699"/>
      <c r="Q84" s="699"/>
      <c r="R84" s="699"/>
      <c r="S84" s="699"/>
      <c r="T84" s="707"/>
    </row>
    <row r="85" spans="1:20" hidden="1">
      <c r="A85" s="777"/>
      <c r="B85" s="690" t="s">
        <v>686</v>
      </c>
      <c r="C85" s="687"/>
      <c r="D85" s="688">
        <f>'[2]总投资-发采购-0411-GLP拆分场外费用(司调)'!G118</f>
        <v>1</v>
      </c>
      <c r="E85" s="693">
        <f t="shared" si="7"/>
        <v>0.14064697609001406</v>
      </c>
      <c r="F85" s="689">
        <f t="shared" si="5"/>
        <v>0.14064697609001406</v>
      </c>
      <c r="G85" s="689">
        <f t="shared" si="6"/>
        <v>1</v>
      </c>
      <c r="H85" s="686"/>
      <c r="I85" s="686"/>
      <c r="J85" s="686"/>
      <c r="K85" s="707"/>
      <c r="L85" s="686"/>
      <c r="M85" s="780"/>
      <c r="N85" s="686"/>
      <c r="O85" s="686"/>
      <c r="P85" s="699"/>
      <c r="Q85" s="699"/>
      <c r="R85" s="699"/>
      <c r="S85" s="699"/>
      <c r="T85" s="707"/>
    </row>
    <row r="86" spans="1:20" hidden="1">
      <c r="A86" s="777"/>
      <c r="B86" s="690" t="s">
        <v>687</v>
      </c>
      <c r="C86" s="687"/>
      <c r="D86" s="688">
        <f>'[2]总投资-发采购-0411-GLP拆分场外费用(司调)'!G119</f>
        <v>13</v>
      </c>
      <c r="E86" s="693">
        <f t="shared" si="7"/>
        <v>1.8284106891701828</v>
      </c>
      <c r="F86" s="689">
        <f t="shared" si="5"/>
        <v>1.8284106891701828</v>
      </c>
      <c r="G86" s="689">
        <f t="shared" si="6"/>
        <v>13</v>
      </c>
      <c r="H86" s="686"/>
      <c r="I86" s="686"/>
      <c r="J86" s="686"/>
      <c r="K86" s="707"/>
      <c r="L86" s="686"/>
      <c r="M86" s="780"/>
      <c r="N86" s="686"/>
      <c r="O86" s="686"/>
      <c r="P86" s="699"/>
      <c r="Q86" s="699"/>
      <c r="R86" s="699"/>
      <c r="S86" s="699"/>
      <c r="T86" s="707"/>
    </row>
    <row r="87" spans="1:20" hidden="1">
      <c r="A87" s="777"/>
      <c r="B87" s="690" t="s">
        <v>688</v>
      </c>
      <c r="C87" s="687"/>
      <c r="D87" s="688">
        <f>'[2]总投资-发采购-0411-GLP拆分场外费用(司调)'!G120</f>
        <v>58</v>
      </c>
      <c r="E87" s="693">
        <f t="shared" si="7"/>
        <v>8.157524613220815</v>
      </c>
      <c r="F87" s="689">
        <f t="shared" si="5"/>
        <v>8.157524613220815</v>
      </c>
      <c r="G87" s="689">
        <f t="shared" si="6"/>
        <v>58</v>
      </c>
      <c r="H87" s="686"/>
      <c r="I87" s="686"/>
      <c r="J87" s="686"/>
      <c r="K87" s="707"/>
      <c r="L87" s="686"/>
      <c r="M87" s="780"/>
      <c r="N87" s="686"/>
      <c r="O87" s="686"/>
      <c r="P87" s="699"/>
      <c r="Q87" s="699"/>
      <c r="R87" s="699"/>
      <c r="S87" s="699"/>
      <c r="T87" s="707"/>
    </row>
    <row r="88" spans="1:20" hidden="1">
      <c r="A88" s="777">
        <v>2.11</v>
      </c>
      <c r="B88" s="690" t="s">
        <v>716</v>
      </c>
      <c r="C88" s="687"/>
      <c r="D88" s="688">
        <f>'[2]总投资-发采购-0411-GLP拆分场外费用(司调)'!G121</f>
        <v>15296.8552463777</v>
      </c>
      <c r="E88" s="693">
        <f t="shared" si="7"/>
        <v>2151.4564340896904</v>
      </c>
      <c r="F88" s="689">
        <f t="shared" si="5"/>
        <v>2151.4564340896904</v>
      </c>
      <c r="G88" s="689">
        <f t="shared" si="6"/>
        <v>15296.8552463777</v>
      </c>
      <c r="H88" s="686"/>
      <c r="I88" s="686"/>
      <c r="J88" s="686"/>
      <c r="K88" s="707"/>
      <c r="L88" s="686"/>
      <c r="M88" s="780"/>
      <c r="N88" s="686"/>
      <c r="O88" s="686"/>
      <c r="P88" s="699"/>
      <c r="Q88" s="699"/>
      <c r="R88" s="699"/>
      <c r="S88" s="699"/>
      <c r="T88" s="707"/>
    </row>
    <row r="89" spans="1:20" hidden="1">
      <c r="A89" s="777" t="s">
        <v>239</v>
      </c>
      <c r="B89" s="690" t="s">
        <v>677</v>
      </c>
      <c r="C89" s="687"/>
      <c r="D89" s="688">
        <f>'[2]总投资-发采购-0411-GLP拆分场外费用(司调)'!G122</f>
        <v>12124.859358359399</v>
      </c>
      <c r="E89" s="693">
        <f t="shared" si="7"/>
        <v>1705.3248042699577</v>
      </c>
      <c r="F89" s="689">
        <f t="shared" si="5"/>
        <v>1705.3248042699577</v>
      </c>
      <c r="G89" s="689">
        <f t="shared" si="6"/>
        <v>12124.859358359399</v>
      </c>
      <c r="H89" s="686"/>
      <c r="I89" s="686"/>
      <c r="J89" s="686"/>
      <c r="K89" s="707"/>
      <c r="L89" s="686"/>
      <c r="M89" s="780"/>
      <c r="N89" s="686"/>
      <c r="O89" s="686"/>
      <c r="P89" s="699"/>
      <c r="Q89" s="699"/>
      <c r="R89" s="699"/>
      <c r="S89" s="699"/>
      <c r="T89" s="707"/>
    </row>
    <row r="90" spans="1:20" hidden="1">
      <c r="A90" s="777" t="s">
        <v>240</v>
      </c>
      <c r="B90" s="690" t="s">
        <v>678</v>
      </c>
      <c r="C90" s="687"/>
      <c r="D90" s="688">
        <f>'[2]总投资-发采购-0411-GLP拆分场外费用(司调)'!G123</f>
        <v>40.926720000000003</v>
      </c>
      <c r="E90" s="693">
        <f t="shared" si="7"/>
        <v>5.7562194092827008</v>
      </c>
      <c r="F90" s="689">
        <f t="shared" si="5"/>
        <v>5.7562194092827008</v>
      </c>
      <c r="G90" s="689">
        <f t="shared" si="6"/>
        <v>40.926720000000003</v>
      </c>
      <c r="H90" s="686"/>
      <c r="I90" s="686"/>
      <c r="J90" s="686"/>
      <c r="K90" s="707"/>
      <c r="L90" s="686"/>
      <c r="M90" s="780"/>
      <c r="N90" s="686"/>
      <c r="O90" s="686"/>
      <c r="P90" s="699"/>
      <c r="Q90" s="699"/>
      <c r="R90" s="699"/>
      <c r="S90" s="699"/>
      <c r="T90" s="707"/>
    </row>
    <row r="91" spans="1:20" hidden="1">
      <c r="A91" s="777" t="s">
        <v>241</v>
      </c>
      <c r="B91" s="690" t="s">
        <v>679</v>
      </c>
      <c r="C91" s="687"/>
      <c r="D91" s="688">
        <f>'[2]总投资-发采购-0411-GLP拆分场外费用(司调)'!G124</f>
        <v>368.34048000000001</v>
      </c>
      <c r="E91" s="693">
        <f t="shared" si="7"/>
        <v>51.805974683544306</v>
      </c>
      <c r="F91" s="689">
        <f t="shared" si="5"/>
        <v>51.805974683544306</v>
      </c>
      <c r="G91" s="689">
        <f t="shared" si="6"/>
        <v>368.34048000000001</v>
      </c>
      <c r="H91" s="686"/>
      <c r="I91" s="686"/>
      <c r="J91" s="686"/>
      <c r="K91" s="707"/>
      <c r="L91" s="686"/>
      <c r="M91" s="780"/>
      <c r="N91" s="686"/>
      <c r="O91" s="686"/>
      <c r="P91" s="699"/>
      <c r="Q91" s="699"/>
      <c r="R91" s="699"/>
      <c r="S91" s="699"/>
      <c r="T91" s="707"/>
    </row>
    <row r="92" spans="1:20" hidden="1">
      <c r="A92" s="777" t="s">
        <v>242</v>
      </c>
      <c r="B92" s="690" t="s">
        <v>680</v>
      </c>
      <c r="C92" s="687"/>
      <c r="D92" s="688">
        <f>'[2]总投资-发采购-0411-GLP拆分场外费用(司调)'!G125</f>
        <v>286.48703999999998</v>
      </c>
      <c r="E92" s="693">
        <f t="shared" si="7"/>
        <v>40.293535864978899</v>
      </c>
      <c r="F92" s="689">
        <f t="shared" si="5"/>
        <v>40.293535864978899</v>
      </c>
      <c r="G92" s="689">
        <f t="shared" si="6"/>
        <v>286.48703999999998</v>
      </c>
      <c r="H92" s="686"/>
      <c r="I92" s="686"/>
      <c r="J92" s="686"/>
      <c r="K92" s="707"/>
      <c r="L92" s="686"/>
      <c r="M92" s="780"/>
      <c r="N92" s="686"/>
      <c r="O92" s="686"/>
      <c r="P92" s="699"/>
      <c r="Q92" s="699"/>
      <c r="R92" s="699"/>
      <c r="S92" s="699"/>
      <c r="T92" s="707"/>
    </row>
    <row r="93" spans="1:20" hidden="1">
      <c r="A93" s="777" t="s">
        <v>243</v>
      </c>
      <c r="B93" s="690" t="s">
        <v>681</v>
      </c>
      <c r="C93" s="687"/>
      <c r="D93" s="688">
        <f>'[2]总投资-发采购-0411-GLP拆分场外费用(司调)'!G126</f>
        <v>634.36415999999997</v>
      </c>
      <c r="E93" s="693">
        <f t="shared" si="7"/>
        <v>89.221400843881852</v>
      </c>
      <c r="F93" s="689">
        <f t="shared" si="5"/>
        <v>89.221400843881852</v>
      </c>
      <c r="G93" s="689">
        <f t="shared" si="6"/>
        <v>634.36415999999997</v>
      </c>
      <c r="H93" s="686"/>
      <c r="I93" s="686"/>
      <c r="J93" s="686"/>
      <c r="K93" s="707"/>
      <c r="L93" s="686"/>
      <c r="M93" s="780"/>
      <c r="N93" s="686"/>
      <c r="O93" s="686"/>
      <c r="P93" s="699"/>
      <c r="Q93" s="699"/>
      <c r="R93" s="699"/>
      <c r="S93" s="699"/>
      <c r="T93" s="707"/>
    </row>
    <row r="94" spans="1:20" hidden="1">
      <c r="A94" s="777" t="s">
        <v>244</v>
      </c>
      <c r="B94" s="690" t="s">
        <v>682</v>
      </c>
      <c r="C94" s="687"/>
      <c r="D94" s="688">
        <f>'[2]总投资-发采购-0411-GLP拆分场外费用(司调)'!G127</f>
        <v>174.807908541004</v>
      </c>
      <c r="E94" s="693">
        <f t="shared" si="7"/>
        <v>24.586203732911954</v>
      </c>
      <c r="F94" s="689">
        <f t="shared" si="5"/>
        <v>24.586203732911954</v>
      </c>
      <c r="G94" s="689">
        <f t="shared" si="6"/>
        <v>174.807908541004</v>
      </c>
      <c r="H94" s="686"/>
      <c r="I94" s="686"/>
      <c r="J94" s="686"/>
      <c r="K94" s="707"/>
      <c r="L94" s="686"/>
      <c r="M94" s="780"/>
      <c r="N94" s="686"/>
      <c r="O94" s="686"/>
      <c r="P94" s="699"/>
      <c r="Q94" s="699"/>
      <c r="R94" s="699"/>
      <c r="S94" s="699"/>
      <c r="T94" s="707"/>
    </row>
    <row r="95" spans="1:20" hidden="1">
      <c r="A95" s="777" t="s">
        <v>245</v>
      </c>
      <c r="B95" s="690" t="s">
        <v>683</v>
      </c>
      <c r="C95" s="687"/>
      <c r="D95" s="688">
        <f>'[2]总投资-发采购-0411-GLP拆分场外费用(司调)'!G128</f>
        <v>639.48</v>
      </c>
      <c r="E95" s="693">
        <f t="shared" si="7"/>
        <v>89.940928270042193</v>
      </c>
      <c r="F95" s="689">
        <f t="shared" si="5"/>
        <v>89.940928270042193</v>
      </c>
      <c r="G95" s="689">
        <f t="shared" si="6"/>
        <v>639.48</v>
      </c>
      <c r="H95" s="686"/>
      <c r="I95" s="686"/>
      <c r="J95" s="686"/>
      <c r="K95" s="707"/>
      <c r="L95" s="686"/>
      <c r="M95" s="780"/>
      <c r="N95" s="686"/>
      <c r="O95" s="686"/>
      <c r="P95" s="699"/>
      <c r="Q95" s="699"/>
      <c r="R95" s="699"/>
      <c r="S95" s="699"/>
      <c r="T95" s="707"/>
    </row>
    <row r="96" spans="1:20" hidden="1">
      <c r="A96" s="777"/>
      <c r="B96" s="779" t="s">
        <v>205</v>
      </c>
      <c r="C96" s="687"/>
      <c r="D96" s="688">
        <f>'[2]总投资-发采购-0411-GLP拆分场外费用(司调)'!G129</f>
        <v>955.589579477293</v>
      </c>
      <c r="E96" s="693">
        <f t="shared" si="7"/>
        <v>134.40078473660941</v>
      </c>
      <c r="F96" s="689">
        <f t="shared" si="5"/>
        <v>134.40078473660941</v>
      </c>
      <c r="G96" s="689">
        <f t="shared" si="6"/>
        <v>955.589579477293</v>
      </c>
      <c r="H96" s="686"/>
      <c r="I96" s="686"/>
      <c r="J96" s="686"/>
      <c r="K96" s="707"/>
      <c r="L96" s="686"/>
      <c r="M96" s="780"/>
      <c r="N96" s="686"/>
      <c r="O96" s="686"/>
      <c r="P96" s="699"/>
      <c r="Q96" s="699"/>
      <c r="R96" s="699"/>
      <c r="S96" s="699"/>
      <c r="T96" s="707"/>
    </row>
    <row r="97" spans="1:20" hidden="1">
      <c r="A97" s="777" t="s">
        <v>246</v>
      </c>
      <c r="B97" s="690" t="s">
        <v>685</v>
      </c>
      <c r="C97" s="687"/>
      <c r="D97" s="688">
        <f>'[2]总投资-发采购-0411-GLP拆分场外费用(司调)'!G130</f>
        <v>72</v>
      </c>
      <c r="E97" s="693">
        <f t="shared" si="7"/>
        <v>10.126582278481012</v>
      </c>
      <c r="F97" s="689">
        <f t="shared" si="5"/>
        <v>10.126582278481012</v>
      </c>
      <c r="G97" s="689">
        <f t="shared" si="6"/>
        <v>72</v>
      </c>
      <c r="H97" s="686"/>
      <c r="I97" s="686"/>
      <c r="J97" s="686"/>
      <c r="K97" s="707"/>
      <c r="L97" s="686"/>
      <c r="M97" s="780"/>
      <c r="N97" s="686"/>
      <c r="O97" s="686"/>
      <c r="P97" s="699"/>
      <c r="Q97" s="699"/>
      <c r="R97" s="699"/>
      <c r="S97" s="699"/>
      <c r="T97" s="707"/>
    </row>
    <row r="98" spans="1:20" hidden="1">
      <c r="A98" s="777"/>
      <c r="B98" s="690" t="s">
        <v>686</v>
      </c>
      <c r="C98" s="687"/>
      <c r="D98" s="688">
        <f>'[2]总投资-发采购-0411-GLP拆分场外费用(司调)'!G131</f>
        <v>1</v>
      </c>
      <c r="E98" s="693">
        <f t="shared" si="7"/>
        <v>0.14064697609001406</v>
      </c>
      <c r="F98" s="689">
        <f t="shared" si="5"/>
        <v>0.14064697609001406</v>
      </c>
      <c r="G98" s="689">
        <f t="shared" si="6"/>
        <v>1</v>
      </c>
      <c r="H98" s="686"/>
      <c r="I98" s="686"/>
      <c r="J98" s="686"/>
      <c r="K98" s="707"/>
      <c r="L98" s="686"/>
      <c r="M98" s="780"/>
      <c r="N98" s="686"/>
      <c r="O98" s="686"/>
      <c r="P98" s="699"/>
      <c r="Q98" s="699"/>
      <c r="R98" s="699"/>
      <c r="S98" s="699"/>
      <c r="T98" s="707"/>
    </row>
    <row r="99" spans="1:20" hidden="1">
      <c r="A99" s="777"/>
      <c r="B99" s="690" t="s">
        <v>687</v>
      </c>
      <c r="C99" s="687"/>
      <c r="D99" s="688">
        <f>'[2]总投资-发采购-0411-GLP拆分场外费用(司调)'!G132</f>
        <v>13</v>
      </c>
      <c r="E99" s="693">
        <f t="shared" si="7"/>
        <v>1.8284106891701828</v>
      </c>
      <c r="F99" s="689">
        <f t="shared" si="5"/>
        <v>1.8284106891701828</v>
      </c>
      <c r="G99" s="689">
        <f t="shared" si="6"/>
        <v>13</v>
      </c>
      <c r="H99" s="686"/>
      <c r="I99" s="686"/>
      <c r="J99" s="686"/>
      <c r="K99" s="707"/>
      <c r="L99" s="686"/>
      <c r="M99" s="780"/>
      <c r="N99" s="686"/>
      <c r="O99" s="686"/>
      <c r="P99" s="699"/>
      <c r="Q99" s="699"/>
      <c r="R99" s="699"/>
      <c r="S99" s="699"/>
      <c r="T99" s="707"/>
    </row>
    <row r="100" spans="1:20" hidden="1">
      <c r="A100" s="777"/>
      <c r="B100" s="690" t="s">
        <v>688</v>
      </c>
      <c r="C100" s="687"/>
      <c r="D100" s="688">
        <f>'[2]总投资-发采购-0411-GLP拆分场外费用(司调)'!G133</f>
        <v>58</v>
      </c>
      <c r="E100" s="693">
        <f t="shared" si="7"/>
        <v>8.157524613220815</v>
      </c>
      <c r="F100" s="689">
        <f t="shared" si="5"/>
        <v>8.157524613220815</v>
      </c>
      <c r="G100" s="689">
        <f t="shared" si="6"/>
        <v>58</v>
      </c>
      <c r="H100" s="686"/>
      <c r="I100" s="686"/>
      <c r="J100" s="686"/>
      <c r="K100" s="707"/>
      <c r="L100" s="686"/>
      <c r="M100" s="780"/>
      <c r="N100" s="686"/>
      <c r="O100" s="686"/>
      <c r="P100" s="699"/>
      <c r="Q100" s="699"/>
      <c r="R100" s="699"/>
      <c r="S100" s="699"/>
      <c r="T100" s="707"/>
    </row>
    <row r="101" spans="1:20" hidden="1">
      <c r="A101" s="777">
        <v>2.9</v>
      </c>
      <c r="B101" s="690" t="s">
        <v>717</v>
      </c>
      <c r="C101" s="687"/>
      <c r="D101" s="688">
        <f>'[2]总投资-发采购-0411-GLP拆分场外费用(司调)'!G95</f>
        <v>13789.8726650923</v>
      </c>
      <c r="E101" s="693">
        <f t="shared" si="7"/>
        <v>1939.5038910115752</v>
      </c>
      <c r="F101" s="689">
        <f t="shared" si="5"/>
        <v>1939.5038910115752</v>
      </c>
      <c r="G101" s="689">
        <f t="shared" si="6"/>
        <v>13789.8726650923</v>
      </c>
      <c r="H101" s="686"/>
      <c r="I101" s="686"/>
      <c r="J101" s="686"/>
      <c r="K101" s="707"/>
      <c r="L101" s="686"/>
      <c r="M101" s="780"/>
      <c r="N101" s="686"/>
      <c r="O101" s="686"/>
      <c r="P101" s="699"/>
      <c r="Q101" s="699"/>
      <c r="R101" s="699"/>
      <c r="S101" s="699"/>
      <c r="T101" s="707"/>
    </row>
    <row r="102" spans="1:20" hidden="1">
      <c r="A102" s="777" t="s">
        <v>248</v>
      </c>
      <c r="B102" s="690" t="s">
        <v>677</v>
      </c>
      <c r="C102" s="687"/>
      <c r="D102" s="688">
        <f>'[2]总投资-发采购-0411-GLP拆分场外费用(司调)'!G96</f>
        <v>10541.2785526889</v>
      </c>
      <c r="E102" s="693">
        <f t="shared" si="7"/>
        <v>1482.5989525582138</v>
      </c>
      <c r="F102" s="689">
        <f t="shared" si="5"/>
        <v>1482.5989525582138</v>
      </c>
      <c r="G102" s="689">
        <f t="shared" si="6"/>
        <v>10541.2785526889</v>
      </c>
      <c r="H102" s="686"/>
      <c r="I102" s="686"/>
      <c r="J102" s="686"/>
      <c r="K102" s="707"/>
      <c r="L102" s="686"/>
      <c r="M102" s="780"/>
      <c r="N102" s="686"/>
      <c r="O102" s="686"/>
      <c r="P102" s="699"/>
      <c r="Q102" s="699"/>
      <c r="R102" s="699"/>
      <c r="S102" s="699"/>
      <c r="T102" s="707"/>
    </row>
    <row r="103" spans="1:20" hidden="1">
      <c r="A103" s="777" t="s">
        <v>249</v>
      </c>
      <c r="B103" s="690" t="s">
        <v>678</v>
      </c>
      <c r="C103" s="687"/>
      <c r="D103" s="688">
        <f>'[2]总投资-发采购-0411-GLP拆分场外费用(司调)'!G97</f>
        <v>35.581440000000001</v>
      </c>
      <c r="E103" s="693">
        <f t="shared" si="7"/>
        <v>5.0044219409282702</v>
      </c>
      <c r="F103" s="689">
        <f t="shared" si="5"/>
        <v>5.0044219409282702</v>
      </c>
      <c r="G103" s="689">
        <f t="shared" si="6"/>
        <v>35.581440000000001</v>
      </c>
      <c r="H103" s="686"/>
      <c r="I103" s="686"/>
      <c r="J103" s="686"/>
      <c r="K103" s="707"/>
      <c r="L103" s="686"/>
      <c r="M103" s="780"/>
      <c r="N103" s="686"/>
      <c r="O103" s="686"/>
      <c r="P103" s="699"/>
      <c r="Q103" s="699"/>
      <c r="R103" s="699"/>
      <c r="S103" s="699"/>
      <c r="T103" s="707"/>
    </row>
    <row r="104" spans="1:20" hidden="1">
      <c r="A104" s="777" t="s">
        <v>250</v>
      </c>
      <c r="B104" s="690" t="s">
        <v>679</v>
      </c>
      <c r="C104" s="687"/>
      <c r="D104" s="688">
        <f>'[2]总投资-发采购-0411-GLP拆分场外费用(司调)'!G98</f>
        <v>320.23295999999999</v>
      </c>
      <c r="E104" s="693">
        <f t="shared" si="7"/>
        <v>45.039797468354429</v>
      </c>
      <c r="F104" s="689">
        <f t="shared" si="5"/>
        <v>45.039797468354429</v>
      </c>
      <c r="G104" s="689">
        <f t="shared" si="6"/>
        <v>320.23295999999999</v>
      </c>
      <c r="H104" s="686"/>
      <c r="I104" s="686"/>
      <c r="J104" s="686"/>
      <c r="K104" s="707"/>
      <c r="L104" s="686"/>
      <c r="M104" s="780"/>
      <c r="N104" s="686"/>
      <c r="O104" s="686"/>
      <c r="P104" s="699"/>
      <c r="Q104" s="699"/>
      <c r="R104" s="699"/>
      <c r="S104" s="699"/>
      <c r="T104" s="707"/>
    </row>
    <row r="105" spans="1:20" hidden="1">
      <c r="A105" s="777" t="s">
        <v>251</v>
      </c>
      <c r="B105" s="690" t="s">
        <v>680</v>
      </c>
      <c r="C105" s="687"/>
      <c r="D105" s="688">
        <f>'[2]总投资-发采购-0411-GLP拆分场外费用(司调)'!G99</f>
        <v>249.07007999999999</v>
      </c>
      <c r="E105" s="693">
        <f t="shared" si="7"/>
        <v>35.030953586497887</v>
      </c>
      <c r="F105" s="689">
        <f t="shared" si="5"/>
        <v>35.030953586497887</v>
      </c>
      <c r="G105" s="689">
        <f t="shared" si="6"/>
        <v>249.07007999999999</v>
      </c>
      <c r="H105" s="686"/>
      <c r="I105" s="686"/>
      <c r="J105" s="686"/>
      <c r="K105" s="707"/>
      <c r="L105" s="686"/>
      <c r="M105" s="780"/>
      <c r="N105" s="686"/>
      <c r="O105" s="686"/>
      <c r="P105" s="699"/>
      <c r="Q105" s="699"/>
      <c r="R105" s="699"/>
      <c r="S105" s="699"/>
      <c r="T105" s="707"/>
    </row>
    <row r="106" spans="1:20" hidden="1">
      <c r="A106" s="777" t="s">
        <v>252</v>
      </c>
      <c r="B106" s="690" t="s">
        <v>681</v>
      </c>
      <c r="C106" s="687"/>
      <c r="D106" s="688">
        <f>'[2]总投资-发采购-0411-GLP拆分场外费用(司调)'!G100</f>
        <v>551.51232000000005</v>
      </c>
      <c r="E106" s="693">
        <f t="shared" si="7"/>
        <v>77.568540084388189</v>
      </c>
      <c r="F106" s="689">
        <f t="shared" si="5"/>
        <v>77.568540084388189</v>
      </c>
      <c r="G106" s="689">
        <f t="shared" si="6"/>
        <v>551.51232000000005</v>
      </c>
      <c r="H106" s="686"/>
      <c r="I106" s="686"/>
      <c r="J106" s="686"/>
      <c r="K106" s="707"/>
      <c r="L106" s="686"/>
      <c r="M106" s="780"/>
      <c r="N106" s="686"/>
      <c r="O106" s="686"/>
      <c r="P106" s="699"/>
      <c r="Q106" s="699"/>
      <c r="R106" s="699"/>
      <c r="S106" s="699"/>
      <c r="T106" s="707"/>
    </row>
    <row r="107" spans="1:20" hidden="1">
      <c r="A107" s="777" t="s">
        <v>253</v>
      </c>
      <c r="B107" s="690" t="s">
        <v>682</v>
      </c>
      <c r="C107" s="687"/>
      <c r="D107" s="688">
        <f>'[2]总投资-发采购-0411-GLP拆分场外费用(司调)'!G101</f>
        <v>151.97692630333501</v>
      </c>
      <c r="E107" s="693">
        <f t="shared" si="7"/>
        <v>21.375095120018987</v>
      </c>
      <c r="F107" s="689">
        <f t="shared" si="5"/>
        <v>21.375095120018987</v>
      </c>
      <c r="G107" s="689">
        <f t="shared" si="6"/>
        <v>151.97692630333501</v>
      </c>
      <c r="H107" s="686"/>
      <c r="I107" s="686"/>
      <c r="J107" s="686"/>
      <c r="K107" s="707"/>
      <c r="L107" s="686"/>
      <c r="M107" s="780"/>
      <c r="N107" s="686"/>
      <c r="O107" s="686"/>
      <c r="P107" s="699"/>
      <c r="Q107" s="699"/>
      <c r="R107" s="699"/>
      <c r="S107" s="699"/>
      <c r="T107" s="707"/>
    </row>
    <row r="108" spans="1:20" hidden="1">
      <c r="A108" s="777" t="s">
        <v>254</v>
      </c>
      <c r="B108" s="690" t="s">
        <v>683</v>
      </c>
      <c r="C108" s="687"/>
      <c r="D108" s="688">
        <f>'[2]总投资-发采购-0411-GLP拆分场外费用(司调)'!G102</f>
        <v>555.96</v>
      </c>
      <c r="E108" s="693">
        <f t="shared" si="7"/>
        <v>78.194092827004226</v>
      </c>
      <c r="F108" s="689">
        <f t="shared" si="5"/>
        <v>78.194092827004226</v>
      </c>
      <c r="G108" s="689">
        <f t="shared" si="6"/>
        <v>555.96</v>
      </c>
      <c r="H108" s="686"/>
      <c r="I108" s="686"/>
      <c r="J108" s="686"/>
      <c r="K108" s="707"/>
      <c r="L108" s="686"/>
      <c r="M108" s="780"/>
      <c r="N108" s="686"/>
      <c r="O108" s="686"/>
      <c r="P108" s="699"/>
      <c r="Q108" s="699"/>
      <c r="R108" s="699"/>
      <c r="S108" s="699"/>
      <c r="T108" s="707"/>
    </row>
    <row r="109" spans="1:20" hidden="1">
      <c r="A109" s="777"/>
      <c r="B109" s="779" t="s">
        <v>205</v>
      </c>
      <c r="C109" s="687"/>
      <c r="D109" s="688">
        <f>'[2]总投资-发采购-0411-GLP拆分场外费用(司调)'!G103</f>
        <v>1319.26038610009</v>
      </c>
      <c r="E109" s="693">
        <f t="shared" si="7"/>
        <v>185.54998398032208</v>
      </c>
      <c r="F109" s="689">
        <f t="shared" si="5"/>
        <v>185.54998398032208</v>
      </c>
      <c r="G109" s="689">
        <f t="shared" si="6"/>
        <v>1319.26038610009</v>
      </c>
      <c r="H109" s="686"/>
      <c r="I109" s="686"/>
      <c r="J109" s="686"/>
      <c r="K109" s="707"/>
      <c r="L109" s="686"/>
      <c r="M109" s="780"/>
      <c r="N109" s="686"/>
      <c r="O109" s="686"/>
      <c r="P109" s="699"/>
      <c r="Q109" s="699"/>
      <c r="R109" s="699"/>
      <c r="S109" s="699"/>
      <c r="T109" s="707"/>
    </row>
    <row r="110" spans="1:20" hidden="1">
      <c r="A110" s="777" t="s">
        <v>255</v>
      </c>
      <c r="B110" s="690" t="s">
        <v>685</v>
      </c>
      <c r="C110" s="687"/>
      <c r="D110" s="688">
        <f>'[2]总投资-发采购-0411-GLP拆分场外费用(司调)'!G104</f>
        <v>65</v>
      </c>
      <c r="E110" s="693">
        <f t="shared" si="7"/>
        <v>9.1420534458509142</v>
      </c>
      <c r="F110" s="689">
        <f t="shared" si="5"/>
        <v>9.1420534458509142</v>
      </c>
      <c r="G110" s="689">
        <f t="shared" si="6"/>
        <v>65</v>
      </c>
      <c r="H110" s="686"/>
      <c r="I110" s="686"/>
      <c r="J110" s="686"/>
      <c r="K110" s="707"/>
      <c r="L110" s="686"/>
      <c r="M110" s="780"/>
      <c r="N110" s="686"/>
      <c r="O110" s="686"/>
      <c r="P110" s="699"/>
      <c r="Q110" s="699"/>
      <c r="R110" s="699"/>
      <c r="S110" s="699"/>
      <c r="T110" s="707"/>
    </row>
    <row r="111" spans="1:20" hidden="1">
      <c r="A111" s="777"/>
      <c r="B111" s="690" t="s">
        <v>686</v>
      </c>
      <c r="C111" s="687"/>
      <c r="D111" s="688">
        <f>'[2]总投资-发采购-0411-GLP拆分场外费用(司调)'!G105</f>
        <v>1</v>
      </c>
      <c r="E111" s="693">
        <f t="shared" si="7"/>
        <v>0.14064697609001406</v>
      </c>
      <c r="F111" s="689">
        <f t="shared" si="5"/>
        <v>0.14064697609001406</v>
      </c>
      <c r="G111" s="689">
        <f t="shared" si="6"/>
        <v>1</v>
      </c>
      <c r="H111" s="686"/>
      <c r="I111" s="686"/>
      <c r="J111" s="686"/>
      <c r="K111" s="707"/>
      <c r="L111" s="686"/>
      <c r="M111" s="780"/>
      <c r="N111" s="686"/>
      <c r="O111" s="686"/>
      <c r="P111" s="699"/>
      <c r="Q111" s="699"/>
      <c r="R111" s="699"/>
      <c r="S111" s="699"/>
      <c r="T111" s="707"/>
    </row>
    <row r="112" spans="1:20" hidden="1">
      <c r="A112" s="777"/>
      <c r="B112" s="690" t="s">
        <v>687</v>
      </c>
      <c r="C112" s="687"/>
      <c r="D112" s="688">
        <f>'[2]总投资-发采购-0411-GLP拆分场外费用(司调)'!G106</f>
        <v>11</v>
      </c>
      <c r="E112" s="693">
        <f t="shared" si="7"/>
        <v>1.5471167369901546</v>
      </c>
      <c r="F112" s="689">
        <f t="shared" si="5"/>
        <v>1.5471167369901546</v>
      </c>
      <c r="G112" s="689">
        <f t="shared" si="6"/>
        <v>11</v>
      </c>
      <c r="H112" s="686"/>
      <c r="I112" s="686"/>
      <c r="J112" s="686"/>
      <c r="K112" s="707"/>
      <c r="L112" s="686"/>
      <c r="M112" s="780"/>
      <c r="N112" s="686"/>
      <c r="O112" s="686"/>
      <c r="P112" s="699"/>
      <c r="Q112" s="699"/>
      <c r="R112" s="699"/>
      <c r="S112" s="699"/>
      <c r="T112" s="707"/>
    </row>
    <row r="113" spans="1:20" hidden="1">
      <c r="A113" s="777"/>
      <c r="B113" s="690" t="s">
        <v>688</v>
      </c>
      <c r="C113" s="687"/>
      <c r="D113" s="688">
        <f>'[2]总投资-发采购-0411-GLP拆分场外费用(司调)'!G107</f>
        <v>53</v>
      </c>
      <c r="E113" s="693">
        <f t="shared" si="7"/>
        <v>7.4542897327707447</v>
      </c>
      <c r="F113" s="689">
        <f t="shared" si="5"/>
        <v>7.4542897327707447</v>
      </c>
      <c r="G113" s="689">
        <f t="shared" si="6"/>
        <v>53</v>
      </c>
      <c r="H113" s="686"/>
      <c r="I113" s="686"/>
      <c r="J113" s="686"/>
      <c r="K113" s="707"/>
      <c r="L113" s="686"/>
      <c r="M113" s="780"/>
      <c r="N113" s="686"/>
      <c r="O113" s="686"/>
      <c r="P113" s="699"/>
      <c r="Q113" s="699"/>
      <c r="R113" s="699"/>
      <c r="S113" s="699"/>
      <c r="T113" s="707"/>
    </row>
    <row r="114" spans="1:20" hidden="1">
      <c r="A114" s="777" t="s">
        <v>256</v>
      </c>
      <c r="B114" s="690" t="s">
        <v>257</v>
      </c>
      <c r="C114" s="687"/>
      <c r="D114" s="688">
        <f>'[2]总投资-发采购-0411-GLP拆分场外费用(司调)'!G199</f>
        <v>9618.8799999999992</v>
      </c>
      <c r="E114" s="693">
        <f t="shared" ref="E114:E118" si="8">D114/$A$3</f>
        <v>1352.8663853727144</v>
      </c>
      <c r="F114" s="689">
        <f t="shared" si="5"/>
        <v>1352.8663853727144</v>
      </c>
      <c r="G114" s="689">
        <f t="shared" si="6"/>
        <v>9618.8799999999992</v>
      </c>
      <c r="H114" s="686"/>
      <c r="I114" s="686"/>
      <c r="J114" s="686"/>
      <c r="K114" s="707"/>
      <c r="L114" s="686"/>
      <c r="M114" s="780"/>
      <c r="N114" s="686"/>
      <c r="O114" s="686"/>
      <c r="P114" s="699"/>
      <c r="Q114" s="699"/>
      <c r="R114" s="699"/>
      <c r="S114" s="699"/>
      <c r="T114" s="707"/>
    </row>
    <row r="115" spans="1:20" hidden="1">
      <c r="A115" s="777" t="s">
        <v>258</v>
      </c>
      <c r="B115" s="690" t="s">
        <v>259</v>
      </c>
      <c r="C115" s="687"/>
      <c r="D115" s="688">
        <f>'[2]总投资-发采购-0411-GLP拆分场外费用(司调)'!G200</f>
        <v>9330.3135999999995</v>
      </c>
      <c r="E115" s="693">
        <f t="shared" si="8"/>
        <v>1312.280393811533</v>
      </c>
      <c r="F115" s="689">
        <f t="shared" si="5"/>
        <v>1312.280393811533</v>
      </c>
      <c r="G115" s="689">
        <f t="shared" si="6"/>
        <v>9330.3135999999995</v>
      </c>
      <c r="H115" s="686"/>
      <c r="I115" s="686"/>
      <c r="J115" s="686"/>
      <c r="K115" s="707"/>
      <c r="L115" s="686"/>
      <c r="M115" s="780"/>
      <c r="N115" s="686"/>
      <c r="O115" s="686"/>
      <c r="P115" s="699"/>
      <c r="Q115" s="699"/>
      <c r="R115" s="699"/>
      <c r="S115" s="699"/>
      <c r="T115" s="707"/>
    </row>
    <row r="116" spans="1:20" hidden="1">
      <c r="A116" s="777" t="s">
        <v>260</v>
      </c>
      <c r="B116" s="690" t="s">
        <v>261</v>
      </c>
      <c r="C116" s="687"/>
      <c r="D116" s="688">
        <f>'[2]总投资-发采购-0411-GLP拆分场外费用(司调)'!G201</f>
        <v>288.56639999999999</v>
      </c>
      <c r="E116" s="693">
        <f t="shared" si="8"/>
        <v>40.58599156118143</v>
      </c>
      <c r="F116" s="689">
        <f t="shared" si="5"/>
        <v>40.58599156118143</v>
      </c>
      <c r="G116" s="689">
        <f t="shared" si="6"/>
        <v>288.56639999999999</v>
      </c>
      <c r="H116" s="686"/>
      <c r="I116" s="686"/>
      <c r="J116" s="686"/>
      <c r="K116" s="707"/>
      <c r="L116" s="686"/>
      <c r="M116" s="780"/>
      <c r="N116" s="686"/>
      <c r="O116" s="686"/>
      <c r="P116" s="699"/>
      <c r="Q116" s="699"/>
      <c r="R116" s="699"/>
      <c r="S116" s="699"/>
      <c r="T116" s="707"/>
    </row>
    <row r="117" spans="1:20" ht="26.4">
      <c r="A117" s="775" t="s">
        <v>38</v>
      </c>
      <c r="B117" s="683" t="s">
        <v>718</v>
      </c>
      <c r="C117" s="683" t="s">
        <v>719</v>
      </c>
      <c r="D117" s="684">
        <f>SUM('[2]总投资-发采购-0411-GLP拆分场外费用(司调)'!G134,'[2]总投资-发采购-0411-GLP拆分场外费用(司调)'!G147,'[2]总投资-发采购-0411-GLP拆分场外费用(司调)'!G160)</f>
        <v>47558.926001233798</v>
      </c>
      <c r="E117" s="695">
        <f t="shared" si="8"/>
        <v>6689.0191281622783</v>
      </c>
      <c r="F117" s="685">
        <f t="shared" si="5"/>
        <v>6689.0191281622783</v>
      </c>
      <c r="G117" s="685">
        <f t="shared" si="6"/>
        <v>47558.926001233798</v>
      </c>
      <c r="H117" s="606" t="s">
        <v>133</v>
      </c>
      <c r="I117" s="606" t="s">
        <v>79</v>
      </c>
      <c r="J117" s="606">
        <v>18</v>
      </c>
      <c r="K117" s="697" t="s">
        <v>224</v>
      </c>
      <c r="L117" s="606" t="s">
        <v>135</v>
      </c>
      <c r="M117" s="780"/>
      <c r="N117" s="606"/>
      <c r="O117" s="606"/>
      <c r="P117" s="698" t="s">
        <v>225</v>
      </c>
      <c r="Q117" s="698" t="s">
        <v>226</v>
      </c>
      <c r="R117" s="698" t="s">
        <v>714</v>
      </c>
      <c r="S117" s="698" t="s">
        <v>228</v>
      </c>
      <c r="T117" s="697"/>
    </row>
    <row r="118" spans="1:20" hidden="1">
      <c r="A118" s="778">
        <v>2.12</v>
      </c>
      <c r="B118" s="690" t="s">
        <v>720</v>
      </c>
      <c r="C118" s="687"/>
      <c r="D118" s="688">
        <f>'[2]总投资-发采购-0411-GLP拆分场外费用(司调)'!G134</f>
        <v>15098.998477818201</v>
      </c>
      <c r="E118" s="693">
        <f t="shared" si="8"/>
        <v>2123.6284778928552</v>
      </c>
      <c r="F118" s="689">
        <f t="shared" si="5"/>
        <v>2123.6284778928552</v>
      </c>
      <c r="G118" s="689">
        <f t="shared" si="6"/>
        <v>15098.998477818201</v>
      </c>
      <c r="H118" s="686"/>
      <c r="I118" s="686"/>
      <c r="J118" s="686"/>
      <c r="K118" s="697" t="s">
        <v>224</v>
      </c>
      <c r="L118" s="686"/>
      <c r="M118" s="780"/>
      <c r="N118" s="686"/>
      <c r="O118" s="686"/>
      <c r="P118" s="699"/>
      <c r="Q118" s="699"/>
      <c r="R118" s="699"/>
      <c r="S118" s="699"/>
      <c r="T118" s="707"/>
    </row>
    <row r="119" spans="1:20" hidden="1">
      <c r="A119" s="778" t="s">
        <v>265</v>
      </c>
      <c r="B119" s="690" t="s">
        <v>677</v>
      </c>
      <c r="C119" s="687"/>
      <c r="D119" s="688">
        <f>'[2]总投资-发采购-0411-GLP拆分场外费用(司调)'!G135</f>
        <v>12124.859358359399</v>
      </c>
      <c r="E119" s="693">
        <f t="shared" ref="E119:E182" si="9">D119/$A$3</f>
        <v>1705.3248042699577</v>
      </c>
      <c r="F119" s="689">
        <f t="shared" si="5"/>
        <v>1705.3248042699577</v>
      </c>
      <c r="G119" s="689">
        <f t="shared" si="6"/>
        <v>12124.859358359399</v>
      </c>
      <c r="H119" s="686"/>
      <c r="I119" s="686"/>
      <c r="J119" s="686"/>
      <c r="K119" s="697" t="s">
        <v>224</v>
      </c>
      <c r="L119" s="686"/>
      <c r="M119" s="780"/>
      <c r="N119" s="686"/>
      <c r="O119" s="686"/>
      <c r="P119" s="699"/>
      <c r="Q119" s="699"/>
      <c r="R119" s="699"/>
      <c r="S119" s="699"/>
      <c r="T119" s="707"/>
    </row>
    <row r="120" spans="1:20" hidden="1">
      <c r="A120" s="778" t="s">
        <v>266</v>
      </c>
      <c r="B120" s="690" t="s">
        <v>678</v>
      </c>
      <c r="C120" s="687"/>
      <c r="D120" s="688">
        <f>'[2]总投资-发采购-0411-GLP拆分场外费用(司调)'!G136</f>
        <v>40.926720000000003</v>
      </c>
      <c r="E120" s="693">
        <f t="shared" si="9"/>
        <v>5.7562194092827008</v>
      </c>
      <c r="F120" s="689">
        <f t="shared" si="5"/>
        <v>5.7562194092827008</v>
      </c>
      <c r="G120" s="689">
        <f t="shared" si="6"/>
        <v>40.926720000000003</v>
      </c>
      <c r="H120" s="686"/>
      <c r="I120" s="686"/>
      <c r="J120" s="686"/>
      <c r="K120" s="697" t="s">
        <v>224</v>
      </c>
      <c r="L120" s="686"/>
      <c r="M120" s="780"/>
      <c r="N120" s="686"/>
      <c r="O120" s="686"/>
      <c r="P120" s="699"/>
      <c r="Q120" s="699"/>
      <c r="R120" s="699"/>
      <c r="S120" s="699"/>
      <c r="T120" s="707"/>
    </row>
    <row r="121" spans="1:20" hidden="1">
      <c r="A121" s="778" t="s">
        <v>267</v>
      </c>
      <c r="B121" s="690" t="s">
        <v>679</v>
      </c>
      <c r="C121" s="687"/>
      <c r="D121" s="688">
        <f>'[2]总投资-发采购-0411-GLP拆分场外费用(司调)'!G137</f>
        <v>368.34048000000001</v>
      </c>
      <c r="E121" s="693">
        <f t="shared" si="9"/>
        <v>51.805974683544306</v>
      </c>
      <c r="F121" s="689">
        <f t="shared" si="5"/>
        <v>51.805974683544306</v>
      </c>
      <c r="G121" s="689">
        <f t="shared" si="6"/>
        <v>368.34048000000001</v>
      </c>
      <c r="H121" s="686"/>
      <c r="I121" s="686"/>
      <c r="J121" s="686"/>
      <c r="K121" s="697" t="s">
        <v>224</v>
      </c>
      <c r="L121" s="686"/>
      <c r="M121" s="780"/>
      <c r="N121" s="686"/>
      <c r="O121" s="686"/>
      <c r="P121" s="699"/>
      <c r="Q121" s="699"/>
      <c r="R121" s="699"/>
      <c r="S121" s="699"/>
      <c r="T121" s="707"/>
    </row>
    <row r="122" spans="1:20" hidden="1">
      <c r="A122" s="778" t="s">
        <v>268</v>
      </c>
      <c r="B122" s="690" t="s">
        <v>680</v>
      </c>
      <c r="C122" s="687"/>
      <c r="D122" s="688">
        <f>'[2]总投资-发采购-0411-GLP拆分场外费用(司调)'!G138</f>
        <v>286.48703999999998</v>
      </c>
      <c r="E122" s="693">
        <f t="shared" si="9"/>
        <v>40.293535864978899</v>
      </c>
      <c r="F122" s="689">
        <f t="shared" si="5"/>
        <v>40.293535864978899</v>
      </c>
      <c r="G122" s="689">
        <f t="shared" si="6"/>
        <v>286.48703999999998</v>
      </c>
      <c r="H122" s="686"/>
      <c r="I122" s="686"/>
      <c r="J122" s="686"/>
      <c r="K122" s="697" t="s">
        <v>224</v>
      </c>
      <c r="L122" s="686"/>
      <c r="M122" s="780"/>
      <c r="N122" s="686"/>
      <c r="O122" s="686"/>
      <c r="P122" s="699"/>
      <c r="Q122" s="699"/>
      <c r="R122" s="699"/>
      <c r="S122" s="699"/>
      <c r="T122" s="707"/>
    </row>
    <row r="123" spans="1:20" hidden="1">
      <c r="A123" s="778" t="s">
        <v>269</v>
      </c>
      <c r="B123" s="690" t="s">
        <v>681</v>
      </c>
      <c r="C123" s="687"/>
      <c r="D123" s="688">
        <f>'[2]总投资-发采购-0411-GLP拆分场外费用(司调)'!G139</f>
        <v>634.36415999999997</v>
      </c>
      <c r="E123" s="693">
        <f t="shared" si="9"/>
        <v>89.221400843881852</v>
      </c>
      <c r="F123" s="689">
        <f t="shared" si="5"/>
        <v>89.221400843881852</v>
      </c>
      <c r="G123" s="689">
        <f t="shared" si="6"/>
        <v>634.36415999999997</v>
      </c>
      <c r="H123" s="686"/>
      <c r="I123" s="686"/>
      <c r="J123" s="686"/>
      <c r="K123" s="697" t="s">
        <v>224</v>
      </c>
      <c r="L123" s="686"/>
      <c r="M123" s="780"/>
      <c r="N123" s="686"/>
      <c r="O123" s="686"/>
      <c r="P123" s="699"/>
      <c r="Q123" s="699"/>
      <c r="R123" s="699"/>
      <c r="S123" s="699"/>
      <c r="T123" s="707"/>
    </row>
    <row r="124" spans="1:20" hidden="1">
      <c r="A124" s="778" t="s">
        <v>270</v>
      </c>
      <c r="B124" s="690" t="s">
        <v>682</v>
      </c>
      <c r="C124" s="687"/>
      <c r="D124" s="688">
        <f>'[2]总投资-发采购-0411-GLP拆分场外费用(司调)'!G140</f>
        <v>174.807908541004</v>
      </c>
      <c r="E124" s="693">
        <f t="shared" si="9"/>
        <v>24.586203732911954</v>
      </c>
      <c r="F124" s="689">
        <f t="shared" si="5"/>
        <v>24.586203732911954</v>
      </c>
      <c r="G124" s="689">
        <f t="shared" si="6"/>
        <v>174.807908541004</v>
      </c>
      <c r="H124" s="686"/>
      <c r="I124" s="686"/>
      <c r="J124" s="686"/>
      <c r="K124" s="697" t="s">
        <v>224</v>
      </c>
      <c r="L124" s="686"/>
      <c r="M124" s="780"/>
      <c r="N124" s="686"/>
      <c r="O124" s="686"/>
      <c r="P124" s="699"/>
      <c r="Q124" s="699"/>
      <c r="R124" s="699"/>
      <c r="S124" s="699"/>
      <c r="T124" s="707"/>
    </row>
    <row r="125" spans="1:20" hidden="1">
      <c r="A125" s="778" t="s">
        <v>271</v>
      </c>
      <c r="B125" s="690" t="s">
        <v>683</v>
      </c>
      <c r="C125" s="687"/>
      <c r="D125" s="688">
        <f>'[2]总投资-发采购-0411-GLP拆分场外费用(司调)'!G141</f>
        <v>639.48</v>
      </c>
      <c r="E125" s="693">
        <f t="shared" si="9"/>
        <v>89.940928270042193</v>
      </c>
      <c r="F125" s="689">
        <f t="shared" si="5"/>
        <v>89.940928270042193</v>
      </c>
      <c r="G125" s="689">
        <f t="shared" si="6"/>
        <v>639.48</v>
      </c>
      <c r="H125" s="686"/>
      <c r="I125" s="686"/>
      <c r="J125" s="686"/>
      <c r="K125" s="697" t="s">
        <v>224</v>
      </c>
      <c r="L125" s="686"/>
      <c r="M125" s="780"/>
      <c r="N125" s="686"/>
      <c r="O125" s="686"/>
      <c r="P125" s="699"/>
      <c r="Q125" s="699"/>
      <c r="R125" s="699"/>
      <c r="S125" s="699"/>
      <c r="T125" s="707"/>
    </row>
    <row r="126" spans="1:20" hidden="1">
      <c r="A126" s="778"/>
      <c r="B126" s="779" t="s">
        <v>205</v>
      </c>
      <c r="C126" s="687"/>
      <c r="D126" s="688">
        <f>'[2]总投资-发采购-0411-GLP拆分场外费用(司调)'!G142</f>
        <v>757.73281091787499</v>
      </c>
      <c r="E126" s="693">
        <f t="shared" si="9"/>
        <v>106.5728285397855</v>
      </c>
      <c r="F126" s="689">
        <f t="shared" si="5"/>
        <v>106.5728285397855</v>
      </c>
      <c r="G126" s="689">
        <f t="shared" si="6"/>
        <v>757.73281091787499</v>
      </c>
      <c r="H126" s="686"/>
      <c r="I126" s="686"/>
      <c r="J126" s="686"/>
      <c r="K126" s="697" t="s">
        <v>224</v>
      </c>
      <c r="L126" s="686"/>
      <c r="M126" s="780"/>
      <c r="N126" s="686"/>
      <c r="O126" s="686"/>
      <c r="P126" s="699"/>
      <c r="Q126" s="699"/>
      <c r="R126" s="699"/>
      <c r="S126" s="699"/>
      <c r="T126" s="707"/>
    </row>
    <row r="127" spans="1:20" hidden="1">
      <c r="A127" s="778" t="s">
        <v>272</v>
      </c>
      <c r="B127" s="690" t="s">
        <v>685</v>
      </c>
      <c r="C127" s="687"/>
      <c r="D127" s="688">
        <f>'[2]总投资-发采购-0411-GLP拆分场外费用(司调)'!G143</f>
        <v>72</v>
      </c>
      <c r="E127" s="693">
        <f t="shared" si="9"/>
        <v>10.126582278481012</v>
      </c>
      <c r="F127" s="689">
        <f t="shared" si="5"/>
        <v>10.126582278481012</v>
      </c>
      <c r="G127" s="689">
        <f t="shared" si="6"/>
        <v>72</v>
      </c>
      <c r="H127" s="686"/>
      <c r="I127" s="686"/>
      <c r="J127" s="686"/>
      <c r="K127" s="697" t="s">
        <v>224</v>
      </c>
      <c r="L127" s="686"/>
      <c r="M127" s="780"/>
      <c r="N127" s="686"/>
      <c r="O127" s="686"/>
      <c r="P127" s="699"/>
      <c r="Q127" s="699"/>
      <c r="R127" s="699"/>
      <c r="S127" s="699"/>
      <c r="T127" s="707"/>
    </row>
    <row r="128" spans="1:20" hidden="1">
      <c r="A128" s="778"/>
      <c r="B128" s="690" t="s">
        <v>686</v>
      </c>
      <c r="C128" s="687"/>
      <c r="D128" s="688">
        <f>'[2]总投资-发采购-0411-GLP拆分场外费用(司调)'!G144</f>
        <v>1</v>
      </c>
      <c r="E128" s="693">
        <f t="shared" si="9"/>
        <v>0.14064697609001406</v>
      </c>
      <c r="F128" s="689">
        <f t="shared" si="5"/>
        <v>0.14064697609001406</v>
      </c>
      <c r="G128" s="689">
        <f t="shared" si="6"/>
        <v>1</v>
      </c>
      <c r="H128" s="686"/>
      <c r="I128" s="686"/>
      <c r="J128" s="686"/>
      <c r="K128" s="697" t="s">
        <v>224</v>
      </c>
      <c r="L128" s="686"/>
      <c r="M128" s="780"/>
      <c r="N128" s="686"/>
      <c r="O128" s="686"/>
      <c r="P128" s="699"/>
      <c r="Q128" s="699"/>
      <c r="R128" s="699"/>
      <c r="S128" s="699"/>
      <c r="T128" s="707"/>
    </row>
    <row r="129" spans="1:20" hidden="1">
      <c r="A129" s="778"/>
      <c r="B129" s="690" t="s">
        <v>687</v>
      </c>
      <c r="C129" s="687"/>
      <c r="D129" s="688">
        <f>'[2]总投资-发采购-0411-GLP拆分场外费用(司调)'!G145</f>
        <v>13</v>
      </c>
      <c r="E129" s="693">
        <f t="shared" si="9"/>
        <v>1.8284106891701828</v>
      </c>
      <c r="F129" s="689">
        <f t="shared" si="5"/>
        <v>1.8284106891701828</v>
      </c>
      <c r="G129" s="689">
        <f t="shared" si="6"/>
        <v>13</v>
      </c>
      <c r="H129" s="686"/>
      <c r="I129" s="686"/>
      <c r="J129" s="686"/>
      <c r="K129" s="697" t="s">
        <v>224</v>
      </c>
      <c r="L129" s="686"/>
      <c r="M129" s="780"/>
      <c r="N129" s="686"/>
      <c r="O129" s="686"/>
      <c r="P129" s="699"/>
      <c r="Q129" s="699"/>
      <c r="R129" s="699"/>
      <c r="S129" s="699"/>
      <c r="T129" s="707"/>
    </row>
    <row r="130" spans="1:20" hidden="1">
      <c r="A130" s="778"/>
      <c r="B130" s="690" t="s">
        <v>688</v>
      </c>
      <c r="C130" s="687"/>
      <c r="D130" s="688">
        <f>'[2]总投资-发采购-0411-GLP拆分场外费用(司调)'!G146</f>
        <v>58</v>
      </c>
      <c r="E130" s="693">
        <f t="shared" si="9"/>
        <v>8.157524613220815</v>
      </c>
      <c r="F130" s="689">
        <f t="shared" si="5"/>
        <v>8.157524613220815</v>
      </c>
      <c r="G130" s="689">
        <f t="shared" si="6"/>
        <v>58</v>
      </c>
      <c r="H130" s="686"/>
      <c r="I130" s="686"/>
      <c r="J130" s="686"/>
      <c r="K130" s="697" t="s">
        <v>224</v>
      </c>
      <c r="L130" s="686"/>
      <c r="M130" s="780"/>
      <c r="N130" s="686"/>
      <c r="O130" s="686"/>
      <c r="P130" s="699"/>
      <c r="Q130" s="699"/>
      <c r="R130" s="699"/>
      <c r="S130" s="699"/>
      <c r="T130" s="707"/>
    </row>
    <row r="131" spans="1:20" hidden="1">
      <c r="A131" s="778">
        <v>2.13</v>
      </c>
      <c r="B131" s="690" t="s">
        <v>721</v>
      </c>
      <c r="C131" s="687"/>
      <c r="D131" s="688">
        <f>'[2]总投资-发采购-0411-GLP拆分场外费用(司调)'!G147</f>
        <v>15276.624860273199</v>
      </c>
      <c r="E131" s="693">
        <f t="shared" si="9"/>
        <v>2148.611091458959</v>
      </c>
      <c r="F131" s="689">
        <f t="shared" si="5"/>
        <v>2148.611091458959</v>
      </c>
      <c r="G131" s="689">
        <f t="shared" si="6"/>
        <v>15276.624860273199</v>
      </c>
      <c r="H131" s="686"/>
      <c r="I131" s="686"/>
      <c r="J131" s="686"/>
      <c r="K131" s="697" t="s">
        <v>224</v>
      </c>
      <c r="L131" s="686"/>
      <c r="M131" s="780"/>
      <c r="N131" s="686"/>
      <c r="O131" s="686"/>
      <c r="P131" s="699"/>
      <c r="Q131" s="699"/>
      <c r="R131" s="699"/>
      <c r="S131" s="699"/>
      <c r="T131" s="707"/>
    </row>
    <row r="132" spans="1:20" hidden="1">
      <c r="A132" s="778" t="s">
        <v>274</v>
      </c>
      <c r="B132" s="690" t="s">
        <v>677</v>
      </c>
      <c r="C132" s="687"/>
      <c r="D132" s="688">
        <f>'[2]总投资-发采购-0411-GLP拆分场外费用(司调)'!G148</f>
        <v>12124.859358359399</v>
      </c>
      <c r="E132" s="693">
        <f t="shared" si="9"/>
        <v>1705.3248042699577</v>
      </c>
      <c r="F132" s="689">
        <f t="shared" si="5"/>
        <v>1705.3248042699577</v>
      </c>
      <c r="G132" s="689">
        <f t="shared" si="6"/>
        <v>12124.859358359399</v>
      </c>
      <c r="H132" s="686"/>
      <c r="I132" s="686"/>
      <c r="J132" s="686"/>
      <c r="K132" s="697" t="s">
        <v>224</v>
      </c>
      <c r="L132" s="686"/>
      <c r="M132" s="780"/>
      <c r="N132" s="686"/>
      <c r="O132" s="686"/>
      <c r="P132" s="699"/>
      <c r="Q132" s="699"/>
      <c r="R132" s="699"/>
      <c r="S132" s="699"/>
      <c r="T132" s="707"/>
    </row>
    <row r="133" spans="1:20" hidden="1">
      <c r="A133" s="778" t="s">
        <v>275</v>
      </c>
      <c r="B133" s="690" t="s">
        <v>678</v>
      </c>
      <c r="C133" s="687"/>
      <c r="D133" s="688">
        <f>'[2]总投资-发采购-0411-GLP拆分场外费用(司调)'!G149</f>
        <v>40.926720000000003</v>
      </c>
      <c r="E133" s="693">
        <f t="shared" si="9"/>
        <v>5.7562194092827008</v>
      </c>
      <c r="F133" s="689">
        <f t="shared" si="5"/>
        <v>5.7562194092827008</v>
      </c>
      <c r="G133" s="689">
        <f t="shared" si="6"/>
        <v>40.926720000000003</v>
      </c>
      <c r="H133" s="686"/>
      <c r="I133" s="686"/>
      <c r="J133" s="686"/>
      <c r="K133" s="697" t="s">
        <v>224</v>
      </c>
      <c r="L133" s="686"/>
      <c r="M133" s="780"/>
      <c r="N133" s="686"/>
      <c r="O133" s="686"/>
      <c r="P133" s="699"/>
      <c r="Q133" s="699"/>
      <c r="R133" s="699"/>
      <c r="S133" s="699"/>
      <c r="T133" s="707"/>
    </row>
    <row r="134" spans="1:20" hidden="1">
      <c r="A134" s="778" t="s">
        <v>276</v>
      </c>
      <c r="B134" s="690" t="s">
        <v>679</v>
      </c>
      <c r="C134" s="687"/>
      <c r="D134" s="688">
        <f>'[2]总投资-发采购-0411-GLP拆分场外费用(司调)'!G150</f>
        <v>368.34048000000001</v>
      </c>
      <c r="E134" s="693">
        <f t="shared" si="9"/>
        <v>51.805974683544306</v>
      </c>
      <c r="F134" s="689">
        <f t="shared" si="5"/>
        <v>51.805974683544306</v>
      </c>
      <c r="G134" s="689">
        <f t="shared" si="6"/>
        <v>368.34048000000001</v>
      </c>
      <c r="H134" s="686"/>
      <c r="I134" s="686"/>
      <c r="J134" s="686"/>
      <c r="K134" s="697" t="s">
        <v>224</v>
      </c>
      <c r="L134" s="686"/>
      <c r="M134" s="780"/>
      <c r="N134" s="686"/>
      <c r="O134" s="686"/>
      <c r="P134" s="699"/>
      <c r="Q134" s="699"/>
      <c r="R134" s="699"/>
      <c r="S134" s="699"/>
      <c r="T134" s="707"/>
    </row>
    <row r="135" spans="1:20" hidden="1">
      <c r="A135" s="778" t="s">
        <v>277</v>
      </c>
      <c r="B135" s="690" t="s">
        <v>680</v>
      </c>
      <c r="C135" s="687"/>
      <c r="D135" s="688">
        <f>'[2]总投资-发采购-0411-GLP拆分场外费用(司调)'!G151</f>
        <v>286.48703999999998</v>
      </c>
      <c r="E135" s="693">
        <f t="shared" si="9"/>
        <v>40.293535864978899</v>
      </c>
      <c r="F135" s="689">
        <f t="shared" si="5"/>
        <v>40.293535864978899</v>
      </c>
      <c r="G135" s="689">
        <f t="shared" si="6"/>
        <v>286.48703999999998</v>
      </c>
      <c r="H135" s="686"/>
      <c r="I135" s="686"/>
      <c r="J135" s="686"/>
      <c r="K135" s="697" t="s">
        <v>224</v>
      </c>
      <c r="L135" s="686"/>
      <c r="M135" s="780"/>
      <c r="N135" s="686"/>
      <c r="O135" s="686"/>
      <c r="P135" s="699"/>
      <c r="Q135" s="699"/>
      <c r="R135" s="699"/>
      <c r="S135" s="699"/>
      <c r="T135" s="707"/>
    </row>
    <row r="136" spans="1:20" hidden="1">
      <c r="A136" s="778" t="s">
        <v>278</v>
      </c>
      <c r="B136" s="690" t="s">
        <v>681</v>
      </c>
      <c r="C136" s="687"/>
      <c r="D136" s="688">
        <f>'[2]总投资-发采购-0411-GLP拆分场外费用(司调)'!G152</f>
        <v>634.36415999999997</v>
      </c>
      <c r="E136" s="693">
        <f t="shared" si="9"/>
        <v>89.221400843881852</v>
      </c>
      <c r="F136" s="689">
        <f t="shared" si="5"/>
        <v>89.221400843881852</v>
      </c>
      <c r="G136" s="689">
        <f t="shared" ref="G136:G157" si="10">D136</f>
        <v>634.36415999999997</v>
      </c>
      <c r="H136" s="686"/>
      <c r="I136" s="686"/>
      <c r="J136" s="686"/>
      <c r="K136" s="697" t="s">
        <v>224</v>
      </c>
      <c r="L136" s="686"/>
      <c r="M136" s="780"/>
      <c r="N136" s="686"/>
      <c r="O136" s="686"/>
      <c r="P136" s="699"/>
      <c r="Q136" s="699"/>
      <c r="R136" s="699"/>
      <c r="S136" s="699"/>
      <c r="T136" s="707"/>
    </row>
    <row r="137" spans="1:20" hidden="1">
      <c r="A137" s="778" t="s">
        <v>279</v>
      </c>
      <c r="B137" s="690" t="s">
        <v>682</v>
      </c>
      <c r="C137" s="687"/>
      <c r="D137" s="688">
        <f>'[2]总投资-发采购-0411-GLP拆分场外费用(司调)'!G153</f>
        <v>174.807908541004</v>
      </c>
      <c r="E137" s="693">
        <f t="shared" si="9"/>
        <v>24.586203732911954</v>
      </c>
      <c r="F137" s="689">
        <f t="shared" si="5"/>
        <v>24.586203732911954</v>
      </c>
      <c r="G137" s="689">
        <f t="shared" si="10"/>
        <v>174.807908541004</v>
      </c>
      <c r="H137" s="686"/>
      <c r="I137" s="686"/>
      <c r="J137" s="686"/>
      <c r="K137" s="697" t="s">
        <v>224</v>
      </c>
      <c r="L137" s="686"/>
      <c r="M137" s="780"/>
      <c r="N137" s="686"/>
      <c r="O137" s="686"/>
      <c r="P137" s="699"/>
      <c r="Q137" s="699"/>
      <c r="R137" s="699"/>
      <c r="S137" s="699"/>
      <c r="T137" s="707"/>
    </row>
    <row r="138" spans="1:20" hidden="1">
      <c r="A138" s="778" t="s">
        <v>280</v>
      </c>
      <c r="B138" s="690" t="s">
        <v>683</v>
      </c>
      <c r="C138" s="687"/>
      <c r="D138" s="688">
        <f>'[2]总投资-发采购-0411-GLP拆分场外费用(司调)'!G154</f>
        <v>639.48</v>
      </c>
      <c r="E138" s="693">
        <f t="shared" si="9"/>
        <v>89.940928270042193</v>
      </c>
      <c r="F138" s="689">
        <f t="shared" si="5"/>
        <v>89.940928270042193</v>
      </c>
      <c r="G138" s="689">
        <f t="shared" si="10"/>
        <v>639.48</v>
      </c>
      <c r="H138" s="686"/>
      <c r="I138" s="686"/>
      <c r="J138" s="686"/>
      <c r="K138" s="697" t="s">
        <v>224</v>
      </c>
      <c r="L138" s="686"/>
      <c r="M138" s="780"/>
      <c r="N138" s="686"/>
      <c r="O138" s="686"/>
      <c r="P138" s="699"/>
      <c r="Q138" s="699"/>
      <c r="R138" s="699"/>
      <c r="S138" s="699"/>
      <c r="T138" s="707"/>
    </row>
    <row r="139" spans="1:20" hidden="1">
      <c r="A139" s="778"/>
      <c r="B139" s="779" t="s">
        <v>205</v>
      </c>
      <c r="C139" s="687"/>
      <c r="D139" s="688">
        <f>'[2]总投资-发采购-0411-GLP拆分场外费用(司调)'!G155</f>
        <v>935.35919337286396</v>
      </c>
      <c r="E139" s="693">
        <f t="shared" si="9"/>
        <v>131.55544210588803</v>
      </c>
      <c r="F139" s="689">
        <f t="shared" si="5"/>
        <v>131.55544210588803</v>
      </c>
      <c r="G139" s="689">
        <f t="shared" si="10"/>
        <v>935.35919337286396</v>
      </c>
      <c r="H139" s="686"/>
      <c r="I139" s="686"/>
      <c r="J139" s="686"/>
      <c r="K139" s="697" t="s">
        <v>224</v>
      </c>
      <c r="L139" s="686"/>
      <c r="M139" s="780"/>
      <c r="N139" s="686"/>
      <c r="O139" s="686"/>
      <c r="P139" s="699"/>
      <c r="Q139" s="699"/>
      <c r="R139" s="699"/>
      <c r="S139" s="699"/>
      <c r="T139" s="707"/>
    </row>
    <row r="140" spans="1:20" hidden="1">
      <c r="A140" s="778" t="s">
        <v>281</v>
      </c>
      <c r="B140" s="690" t="s">
        <v>685</v>
      </c>
      <c r="C140" s="687"/>
      <c r="D140" s="688">
        <f>'[2]总投资-发采购-0411-GLP拆分场外费用(司调)'!G156</f>
        <v>72</v>
      </c>
      <c r="E140" s="693">
        <f t="shared" si="9"/>
        <v>10.126582278481012</v>
      </c>
      <c r="F140" s="689">
        <f t="shared" si="5"/>
        <v>10.126582278481012</v>
      </c>
      <c r="G140" s="689">
        <f t="shared" si="10"/>
        <v>72</v>
      </c>
      <c r="H140" s="686"/>
      <c r="I140" s="686"/>
      <c r="J140" s="686"/>
      <c r="K140" s="697" t="s">
        <v>224</v>
      </c>
      <c r="L140" s="686"/>
      <c r="M140" s="780"/>
      <c r="N140" s="686"/>
      <c r="O140" s="686"/>
      <c r="P140" s="699"/>
      <c r="Q140" s="699"/>
      <c r="R140" s="699"/>
      <c r="S140" s="699"/>
      <c r="T140" s="707"/>
    </row>
    <row r="141" spans="1:20" hidden="1">
      <c r="A141" s="778"/>
      <c r="B141" s="690" t="s">
        <v>686</v>
      </c>
      <c r="C141" s="687"/>
      <c r="D141" s="688">
        <f>'[2]总投资-发采购-0411-GLP拆分场外费用(司调)'!G157</f>
        <v>1</v>
      </c>
      <c r="E141" s="693">
        <f t="shared" si="9"/>
        <v>0.14064697609001406</v>
      </c>
      <c r="F141" s="689">
        <f t="shared" si="5"/>
        <v>0.14064697609001406</v>
      </c>
      <c r="G141" s="689">
        <f t="shared" si="10"/>
        <v>1</v>
      </c>
      <c r="H141" s="686"/>
      <c r="I141" s="686"/>
      <c r="J141" s="686"/>
      <c r="K141" s="697" t="s">
        <v>224</v>
      </c>
      <c r="L141" s="686"/>
      <c r="M141" s="780"/>
      <c r="N141" s="686"/>
      <c r="O141" s="686"/>
      <c r="P141" s="699"/>
      <c r="Q141" s="699"/>
      <c r="R141" s="699"/>
      <c r="S141" s="699"/>
      <c r="T141" s="707"/>
    </row>
    <row r="142" spans="1:20" hidden="1">
      <c r="A142" s="778"/>
      <c r="B142" s="690" t="s">
        <v>687</v>
      </c>
      <c r="C142" s="687"/>
      <c r="D142" s="688">
        <f>'[2]总投资-发采购-0411-GLP拆分场外费用(司调)'!G158</f>
        <v>13</v>
      </c>
      <c r="E142" s="693">
        <f t="shared" si="9"/>
        <v>1.8284106891701828</v>
      </c>
      <c r="F142" s="689">
        <f t="shared" si="5"/>
        <v>1.8284106891701828</v>
      </c>
      <c r="G142" s="689">
        <f t="shared" si="10"/>
        <v>13</v>
      </c>
      <c r="H142" s="686"/>
      <c r="I142" s="686"/>
      <c r="J142" s="686"/>
      <c r="K142" s="697" t="s">
        <v>224</v>
      </c>
      <c r="L142" s="686"/>
      <c r="M142" s="780"/>
      <c r="N142" s="686"/>
      <c r="O142" s="686"/>
      <c r="P142" s="699"/>
      <c r="Q142" s="699"/>
      <c r="R142" s="699"/>
      <c r="S142" s="699"/>
      <c r="T142" s="707"/>
    </row>
    <row r="143" spans="1:20" hidden="1">
      <c r="A143" s="778"/>
      <c r="B143" s="690" t="s">
        <v>688</v>
      </c>
      <c r="C143" s="687"/>
      <c r="D143" s="688">
        <f>'[2]总投资-发采购-0411-GLP拆分场外费用(司调)'!G159</f>
        <v>58</v>
      </c>
      <c r="E143" s="693">
        <f t="shared" si="9"/>
        <v>8.157524613220815</v>
      </c>
      <c r="F143" s="689">
        <f t="shared" si="5"/>
        <v>8.157524613220815</v>
      </c>
      <c r="G143" s="689">
        <f t="shared" si="10"/>
        <v>58</v>
      </c>
      <c r="H143" s="686"/>
      <c r="I143" s="686"/>
      <c r="J143" s="686"/>
      <c r="K143" s="697" t="s">
        <v>224</v>
      </c>
      <c r="L143" s="686"/>
      <c r="M143" s="780"/>
      <c r="N143" s="686"/>
      <c r="O143" s="686"/>
      <c r="P143" s="699"/>
      <c r="Q143" s="699"/>
      <c r="R143" s="699"/>
      <c r="S143" s="699"/>
      <c r="T143" s="707"/>
    </row>
    <row r="144" spans="1:20" hidden="1">
      <c r="A144" s="778">
        <v>2.14</v>
      </c>
      <c r="B144" s="690" t="s">
        <v>722</v>
      </c>
      <c r="C144" s="687"/>
      <c r="D144" s="688">
        <f>'[2]总投资-发采购-0411-GLP拆分场外费用(司调)'!G160</f>
        <v>17183.3026631424</v>
      </c>
      <c r="E144" s="693">
        <f t="shared" si="9"/>
        <v>2416.7795588104641</v>
      </c>
      <c r="F144" s="689">
        <f t="shared" ref="F144:F207" si="11">E144</f>
        <v>2416.7795588104641</v>
      </c>
      <c r="G144" s="689">
        <f t="shared" si="10"/>
        <v>17183.3026631424</v>
      </c>
      <c r="H144" s="686"/>
      <c r="I144" s="686"/>
      <c r="J144" s="686"/>
      <c r="K144" s="697" t="s">
        <v>224</v>
      </c>
      <c r="L144" s="686"/>
      <c r="M144" s="780"/>
      <c r="N144" s="686"/>
      <c r="O144" s="686"/>
      <c r="P144" s="699"/>
      <c r="Q144" s="699"/>
      <c r="R144" s="699"/>
      <c r="S144" s="699"/>
      <c r="T144" s="707"/>
    </row>
    <row r="145" spans="1:20" hidden="1">
      <c r="A145" s="778" t="s">
        <v>283</v>
      </c>
      <c r="B145" s="690" t="s">
        <v>677</v>
      </c>
      <c r="C145" s="687"/>
      <c r="D145" s="688">
        <f>'[2]总投资-发采购-0411-GLP拆分场外费用(司调)'!G161</f>
        <v>13708.4401640299</v>
      </c>
      <c r="E145" s="693">
        <f t="shared" si="9"/>
        <v>1928.0506559817018</v>
      </c>
      <c r="F145" s="689">
        <f t="shared" si="11"/>
        <v>1928.0506559817018</v>
      </c>
      <c r="G145" s="689">
        <f t="shared" si="10"/>
        <v>13708.4401640299</v>
      </c>
      <c r="H145" s="686"/>
      <c r="I145" s="686"/>
      <c r="J145" s="686"/>
      <c r="K145" s="697" t="s">
        <v>224</v>
      </c>
      <c r="L145" s="686"/>
      <c r="M145" s="780"/>
      <c r="N145" s="686"/>
      <c r="O145" s="686"/>
      <c r="P145" s="699"/>
      <c r="Q145" s="699"/>
      <c r="R145" s="699"/>
      <c r="S145" s="699"/>
      <c r="T145" s="707"/>
    </row>
    <row r="146" spans="1:20" hidden="1">
      <c r="A146" s="778" t="s">
        <v>284</v>
      </c>
      <c r="B146" s="690" t="s">
        <v>678</v>
      </c>
      <c r="C146" s="687"/>
      <c r="D146" s="688">
        <f>'[2]总投资-发采购-0411-GLP拆分场外费用(司调)'!G162</f>
        <v>46.271999999999998</v>
      </c>
      <c r="E146" s="693">
        <f t="shared" si="9"/>
        <v>6.5080168776371305</v>
      </c>
      <c r="F146" s="689">
        <f t="shared" si="11"/>
        <v>6.5080168776371305</v>
      </c>
      <c r="G146" s="689">
        <f t="shared" si="10"/>
        <v>46.271999999999998</v>
      </c>
      <c r="H146" s="686"/>
      <c r="I146" s="686"/>
      <c r="J146" s="686"/>
      <c r="K146" s="697" t="s">
        <v>224</v>
      </c>
      <c r="L146" s="686"/>
      <c r="M146" s="780"/>
      <c r="N146" s="686"/>
      <c r="O146" s="686"/>
      <c r="P146" s="699"/>
      <c r="Q146" s="699"/>
      <c r="R146" s="699"/>
      <c r="S146" s="699"/>
      <c r="T146" s="707"/>
    </row>
    <row r="147" spans="1:20" hidden="1">
      <c r="A147" s="778" t="s">
        <v>285</v>
      </c>
      <c r="B147" s="690" t="s">
        <v>679</v>
      </c>
      <c r="C147" s="687"/>
      <c r="D147" s="688">
        <f>'[2]总投资-发采购-0411-GLP拆分场外费用(司调)'!G163</f>
        <v>416.44799999999998</v>
      </c>
      <c r="E147" s="693">
        <f t="shared" si="9"/>
        <v>58.57215189873417</v>
      </c>
      <c r="F147" s="689">
        <f t="shared" si="11"/>
        <v>58.57215189873417</v>
      </c>
      <c r="G147" s="689">
        <f t="shared" si="10"/>
        <v>416.44799999999998</v>
      </c>
      <c r="H147" s="686"/>
      <c r="I147" s="686"/>
      <c r="J147" s="686"/>
      <c r="K147" s="697" t="s">
        <v>224</v>
      </c>
      <c r="L147" s="686"/>
      <c r="M147" s="780"/>
      <c r="N147" s="686"/>
      <c r="O147" s="686"/>
      <c r="P147" s="699"/>
      <c r="Q147" s="699"/>
      <c r="R147" s="699"/>
      <c r="S147" s="699"/>
      <c r="T147" s="707"/>
    </row>
    <row r="148" spans="1:20" hidden="1">
      <c r="A148" s="778" t="s">
        <v>286</v>
      </c>
      <c r="B148" s="690" t="s">
        <v>680</v>
      </c>
      <c r="C148" s="687"/>
      <c r="D148" s="688">
        <f>'[2]总投资-发采购-0411-GLP拆分场外费用(司调)'!G164</f>
        <v>323.904</v>
      </c>
      <c r="E148" s="693">
        <f t="shared" si="9"/>
        <v>45.556118143459912</v>
      </c>
      <c r="F148" s="689">
        <f t="shared" si="11"/>
        <v>45.556118143459912</v>
      </c>
      <c r="G148" s="689">
        <f t="shared" si="10"/>
        <v>323.904</v>
      </c>
      <c r="H148" s="686"/>
      <c r="I148" s="686"/>
      <c r="J148" s="686"/>
      <c r="K148" s="697" t="s">
        <v>224</v>
      </c>
      <c r="L148" s="686"/>
      <c r="M148" s="780"/>
      <c r="N148" s="686"/>
      <c r="O148" s="686"/>
      <c r="P148" s="699"/>
      <c r="Q148" s="699"/>
      <c r="R148" s="699"/>
      <c r="S148" s="699"/>
      <c r="T148" s="707"/>
    </row>
    <row r="149" spans="1:20" hidden="1">
      <c r="A149" s="778" t="s">
        <v>287</v>
      </c>
      <c r="B149" s="690" t="s">
        <v>681</v>
      </c>
      <c r="C149" s="687"/>
      <c r="D149" s="688">
        <f>'[2]总投资-发采购-0411-GLP拆分场外费用(司调)'!G165</f>
        <v>717.21600000000001</v>
      </c>
      <c r="E149" s="693">
        <f t="shared" si="9"/>
        <v>100.87426160337553</v>
      </c>
      <c r="F149" s="689">
        <f t="shared" si="11"/>
        <v>100.87426160337553</v>
      </c>
      <c r="G149" s="689">
        <f t="shared" si="10"/>
        <v>717.21600000000001</v>
      </c>
      <c r="H149" s="686"/>
      <c r="I149" s="686"/>
      <c r="J149" s="686"/>
      <c r="K149" s="697" t="s">
        <v>224</v>
      </c>
      <c r="L149" s="686"/>
      <c r="M149" s="780"/>
      <c r="N149" s="686"/>
      <c r="O149" s="686"/>
      <c r="P149" s="699"/>
      <c r="Q149" s="699"/>
      <c r="R149" s="699"/>
      <c r="S149" s="699"/>
      <c r="T149" s="707"/>
    </row>
    <row r="150" spans="1:20" hidden="1">
      <c r="A150" s="778" t="s">
        <v>288</v>
      </c>
      <c r="B150" s="690" t="s">
        <v>682</v>
      </c>
      <c r="C150" s="687"/>
      <c r="D150" s="688">
        <f>'[2]总投资-发采购-0411-GLP拆分场外费用(司调)'!G166</f>
        <v>197.63889077867299</v>
      </c>
      <c r="E150" s="693">
        <f t="shared" si="9"/>
        <v>27.797312345804919</v>
      </c>
      <c r="F150" s="689">
        <f t="shared" si="11"/>
        <v>27.797312345804919</v>
      </c>
      <c r="G150" s="689">
        <f t="shared" si="10"/>
        <v>197.63889077867299</v>
      </c>
      <c r="H150" s="686"/>
      <c r="I150" s="686"/>
      <c r="J150" s="686"/>
      <c r="K150" s="697" t="s">
        <v>224</v>
      </c>
      <c r="L150" s="686"/>
      <c r="M150" s="780"/>
      <c r="N150" s="686"/>
      <c r="O150" s="686"/>
      <c r="P150" s="699"/>
      <c r="Q150" s="699"/>
      <c r="R150" s="699"/>
      <c r="S150" s="699"/>
      <c r="T150" s="707"/>
    </row>
    <row r="151" spans="1:20" hidden="1">
      <c r="A151" s="778" t="s">
        <v>289</v>
      </c>
      <c r="B151" s="690" t="s">
        <v>683</v>
      </c>
      <c r="C151" s="687"/>
      <c r="D151" s="688">
        <f>'[2]总投资-发采购-0411-GLP拆分场外费用(司调)'!G167</f>
        <v>723</v>
      </c>
      <c r="E151" s="693">
        <f t="shared" si="9"/>
        <v>101.68776371308016</v>
      </c>
      <c r="F151" s="689">
        <f t="shared" si="11"/>
        <v>101.68776371308016</v>
      </c>
      <c r="G151" s="689">
        <f t="shared" si="10"/>
        <v>723</v>
      </c>
      <c r="H151" s="686"/>
      <c r="I151" s="686"/>
      <c r="J151" s="686"/>
      <c r="K151" s="697" t="s">
        <v>224</v>
      </c>
      <c r="L151" s="686"/>
      <c r="M151" s="780"/>
      <c r="N151" s="686"/>
      <c r="O151" s="686"/>
      <c r="P151" s="699"/>
      <c r="Q151" s="699"/>
      <c r="R151" s="699"/>
      <c r="S151" s="699"/>
      <c r="T151" s="707"/>
    </row>
    <row r="152" spans="1:20" hidden="1">
      <c r="A152" s="778"/>
      <c r="B152" s="779" t="s">
        <v>205</v>
      </c>
      <c r="C152" s="687"/>
      <c r="D152" s="688">
        <f>'[2]总投资-发采购-0411-GLP拆分场外费用(司调)'!G168</f>
        <v>972.38360833383695</v>
      </c>
      <c r="E152" s="693">
        <f t="shared" si="9"/>
        <v>136.76281411165075</v>
      </c>
      <c r="F152" s="689">
        <f t="shared" si="11"/>
        <v>136.76281411165075</v>
      </c>
      <c r="G152" s="689">
        <f t="shared" si="10"/>
        <v>972.38360833383695</v>
      </c>
      <c r="H152" s="686"/>
      <c r="I152" s="686"/>
      <c r="J152" s="686"/>
      <c r="K152" s="697" t="s">
        <v>224</v>
      </c>
      <c r="L152" s="686"/>
      <c r="M152" s="780"/>
      <c r="N152" s="686"/>
      <c r="O152" s="686"/>
      <c r="P152" s="699"/>
      <c r="Q152" s="699"/>
      <c r="R152" s="699"/>
      <c r="S152" s="699"/>
      <c r="T152" s="707"/>
    </row>
    <row r="153" spans="1:20" hidden="1">
      <c r="A153" s="778" t="s">
        <v>290</v>
      </c>
      <c r="B153" s="690" t="s">
        <v>685</v>
      </c>
      <c r="C153" s="687"/>
      <c r="D153" s="688">
        <f>'[2]总投资-发采购-0411-GLP拆分场外费用(司调)'!G169</f>
        <v>78</v>
      </c>
      <c r="E153" s="693">
        <f t="shared" si="9"/>
        <v>10.970464135021096</v>
      </c>
      <c r="F153" s="689">
        <f t="shared" si="11"/>
        <v>10.970464135021096</v>
      </c>
      <c r="G153" s="689">
        <f t="shared" si="10"/>
        <v>78</v>
      </c>
      <c r="H153" s="686"/>
      <c r="I153" s="686"/>
      <c r="J153" s="686"/>
      <c r="K153" s="697" t="s">
        <v>224</v>
      </c>
      <c r="L153" s="686"/>
      <c r="M153" s="780"/>
      <c r="N153" s="686"/>
      <c r="O153" s="686"/>
      <c r="P153" s="699"/>
      <c r="Q153" s="699"/>
      <c r="R153" s="699"/>
      <c r="S153" s="699"/>
      <c r="T153" s="707"/>
    </row>
    <row r="154" spans="1:20" hidden="1">
      <c r="A154" s="778"/>
      <c r="B154" s="690" t="s">
        <v>686</v>
      </c>
      <c r="C154" s="687"/>
      <c r="D154" s="688">
        <f>'[2]总投资-发采购-0411-GLP拆分场外费用(司调)'!G170</f>
        <v>1</v>
      </c>
      <c r="E154" s="693">
        <f t="shared" si="9"/>
        <v>0.14064697609001406</v>
      </c>
      <c r="F154" s="689">
        <f t="shared" si="11"/>
        <v>0.14064697609001406</v>
      </c>
      <c r="G154" s="689">
        <f t="shared" si="10"/>
        <v>1</v>
      </c>
      <c r="H154" s="686"/>
      <c r="I154" s="686"/>
      <c r="J154" s="686"/>
      <c r="K154" s="697" t="s">
        <v>224</v>
      </c>
      <c r="L154" s="686"/>
      <c r="M154" s="780"/>
      <c r="N154" s="686"/>
      <c r="O154" s="686"/>
      <c r="P154" s="699"/>
      <c r="Q154" s="699"/>
      <c r="R154" s="699"/>
      <c r="S154" s="699"/>
      <c r="T154" s="707"/>
    </row>
    <row r="155" spans="1:20" hidden="1">
      <c r="A155" s="778"/>
      <c r="B155" s="690" t="s">
        <v>687</v>
      </c>
      <c r="C155" s="687"/>
      <c r="D155" s="688">
        <f>'[2]总投资-发采购-0411-GLP拆分场外费用(司调)'!G171</f>
        <v>14</v>
      </c>
      <c r="E155" s="693">
        <f t="shared" si="9"/>
        <v>1.9690576652601968</v>
      </c>
      <c r="F155" s="689">
        <f t="shared" si="11"/>
        <v>1.9690576652601968</v>
      </c>
      <c r="G155" s="689">
        <f t="shared" si="10"/>
        <v>14</v>
      </c>
      <c r="H155" s="686"/>
      <c r="I155" s="686"/>
      <c r="J155" s="686"/>
      <c r="K155" s="697" t="s">
        <v>224</v>
      </c>
      <c r="L155" s="686"/>
      <c r="M155" s="780"/>
      <c r="N155" s="686"/>
      <c r="O155" s="686"/>
      <c r="P155" s="699"/>
      <c r="Q155" s="699"/>
      <c r="R155" s="699"/>
      <c r="S155" s="699"/>
      <c r="T155" s="707"/>
    </row>
    <row r="156" spans="1:20" hidden="1">
      <c r="A156" s="778"/>
      <c r="B156" s="690" t="s">
        <v>688</v>
      </c>
      <c r="C156" s="687"/>
      <c r="D156" s="688">
        <f>'[2]总投资-发采购-0411-GLP拆分场外费用(司调)'!G172</f>
        <v>63</v>
      </c>
      <c r="E156" s="693">
        <f t="shared" si="9"/>
        <v>8.8607594936708853</v>
      </c>
      <c r="F156" s="689">
        <f t="shared" si="11"/>
        <v>8.8607594936708853</v>
      </c>
      <c r="G156" s="689">
        <f t="shared" si="10"/>
        <v>63</v>
      </c>
      <c r="H156" s="686"/>
      <c r="I156" s="686"/>
      <c r="J156" s="686"/>
      <c r="K156" s="697" t="s">
        <v>224</v>
      </c>
      <c r="L156" s="686"/>
      <c r="M156" s="780"/>
      <c r="N156" s="686"/>
      <c r="O156" s="686"/>
      <c r="P156" s="699"/>
      <c r="Q156" s="699"/>
      <c r="R156" s="699"/>
      <c r="S156" s="699"/>
      <c r="T156" s="707"/>
    </row>
    <row r="157" spans="1:20" ht="26.4">
      <c r="A157" s="775" t="s">
        <v>41</v>
      </c>
      <c r="B157" s="776" t="s">
        <v>291</v>
      </c>
      <c r="C157" s="683" t="s">
        <v>723</v>
      </c>
      <c r="D157" s="684">
        <f>SUM('[2]总投资-发采购-0411-GLP拆分场外费用(司调)'!G30,'[2]总投资-发采购-0411-GLP拆分场外费用(司调)'!G43,'[2]总投资-发采购-0411-GLP拆分场外费用(司调)'!G56,'[2]总投资-发采购-0411-GLP拆分场外费用(司调)'!G69)</f>
        <v>23398.367016560886</v>
      </c>
      <c r="E157" s="695">
        <f t="shared" si="9"/>
        <v>3290.9095663236126</v>
      </c>
      <c r="F157" s="685">
        <f t="shared" si="11"/>
        <v>3290.9095663236126</v>
      </c>
      <c r="G157" s="685">
        <f t="shared" si="10"/>
        <v>23398.367016560886</v>
      </c>
      <c r="H157" s="606" t="s">
        <v>133</v>
      </c>
      <c r="I157" s="606" t="s">
        <v>30</v>
      </c>
      <c r="J157" s="606">
        <v>18</v>
      </c>
      <c r="K157" s="590" t="s">
        <v>224</v>
      </c>
      <c r="L157" s="606" t="s">
        <v>135</v>
      </c>
      <c r="M157" s="780"/>
      <c r="N157" s="606"/>
      <c r="O157" s="606"/>
      <c r="P157" s="698" t="s">
        <v>293</v>
      </c>
      <c r="Q157" s="698" t="s">
        <v>294</v>
      </c>
      <c r="R157" s="698" t="s">
        <v>339</v>
      </c>
      <c r="S157" s="698" t="s">
        <v>296</v>
      </c>
      <c r="T157" s="697"/>
    </row>
    <row r="158" spans="1:20" hidden="1">
      <c r="A158" s="778">
        <v>2.4</v>
      </c>
      <c r="B158" s="690" t="s">
        <v>724</v>
      </c>
      <c r="C158" s="687"/>
      <c r="D158" s="688">
        <f>'[2]总投资-发采购-0411-GLP拆分场外费用(司调)'!G30</f>
        <v>5921.3918794486299</v>
      </c>
      <c r="E158" s="693">
        <f t="shared" si="9"/>
        <v>832.82586208841485</v>
      </c>
      <c r="F158" s="689">
        <f t="shared" si="11"/>
        <v>832.82586208841485</v>
      </c>
      <c r="G158" s="689">
        <f t="shared" ref="G158:G211" si="12">D158</f>
        <v>5921.3918794486299</v>
      </c>
      <c r="H158" s="606"/>
      <c r="I158" s="606"/>
      <c r="J158" s="606"/>
      <c r="K158" s="590" t="s">
        <v>224</v>
      </c>
      <c r="L158" s="606"/>
      <c r="M158" s="606"/>
      <c r="N158" s="606"/>
      <c r="O158" s="606"/>
      <c r="P158" s="698"/>
      <c r="Q158" s="698"/>
      <c r="R158" s="698"/>
      <c r="S158" s="698"/>
      <c r="T158" s="697"/>
    </row>
    <row r="159" spans="1:20" hidden="1">
      <c r="A159" s="777" t="s">
        <v>298</v>
      </c>
      <c r="B159" s="690" t="s">
        <v>677</v>
      </c>
      <c r="C159" s="687"/>
      <c r="D159" s="688">
        <f>'[2]总投资-发采购-0411-GLP拆分场外费用(司调)'!G31</f>
        <v>3574</v>
      </c>
      <c r="E159" s="693">
        <f t="shared" si="9"/>
        <v>502.67229254571026</v>
      </c>
      <c r="F159" s="689">
        <f t="shared" si="11"/>
        <v>502.67229254571026</v>
      </c>
      <c r="G159" s="689">
        <f t="shared" si="12"/>
        <v>3574</v>
      </c>
      <c r="H159" s="606"/>
      <c r="I159" s="606"/>
      <c r="J159" s="606"/>
      <c r="K159" s="590" t="s">
        <v>224</v>
      </c>
      <c r="L159" s="606"/>
      <c r="M159" s="606"/>
      <c r="N159" s="606"/>
      <c r="O159" s="606"/>
      <c r="P159" s="698"/>
      <c r="Q159" s="698"/>
      <c r="R159" s="698"/>
      <c r="S159" s="698"/>
      <c r="T159" s="697"/>
    </row>
    <row r="160" spans="1:20" hidden="1">
      <c r="A160" s="777" t="s">
        <v>299</v>
      </c>
      <c r="B160" s="690" t="s">
        <v>678</v>
      </c>
      <c r="C160" s="687"/>
      <c r="D160" s="688">
        <f>'[2]总投资-发采购-0411-GLP拆分场外费用(司调)'!G32</f>
        <v>18.29888</v>
      </c>
      <c r="E160" s="693">
        <f t="shared" si="9"/>
        <v>2.5736821378340364</v>
      </c>
      <c r="F160" s="689">
        <f t="shared" si="11"/>
        <v>2.5736821378340364</v>
      </c>
      <c r="G160" s="689">
        <f t="shared" si="12"/>
        <v>18.29888</v>
      </c>
      <c r="H160" s="606"/>
      <c r="I160" s="606"/>
      <c r="J160" s="606"/>
      <c r="K160" s="590" t="s">
        <v>224</v>
      </c>
      <c r="L160" s="606"/>
      <c r="M160" s="606"/>
      <c r="N160" s="606"/>
      <c r="O160" s="606"/>
      <c r="P160" s="698"/>
      <c r="Q160" s="698"/>
      <c r="R160" s="698"/>
      <c r="S160" s="698"/>
      <c r="T160" s="697"/>
    </row>
    <row r="161" spans="1:20" hidden="1">
      <c r="A161" s="777" t="s">
        <v>300</v>
      </c>
      <c r="B161" s="690" t="s">
        <v>679</v>
      </c>
      <c r="C161" s="687"/>
      <c r="D161" s="688">
        <f>'[2]总投资-发采购-0411-GLP拆分场外费用(司调)'!G33</f>
        <v>164.68992</v>
      </c>
      <c r="E161" s="693">
        <f t="shared" si="9"/>
        <v>23.163139240506329</v>
      </c>
      <c r="F161" s="689">
        <f t="shared" si="11"/>
        <v>23.163139240506329</v>
      </c>
      <c r="G161" s="689">
        <f t="shared" si="12"/>
        <v>164.68992</v>
      </c>
      <c r="H161" s="606"/>
      <c r="I161" s="606"/>
      <c r="J161" s="606"/>
      <c r="K161" s="590" t="s">
        <v>224</v>
      </c>
      <c r="L161" s="606"/>
      <c r="M161" s="606"/>
      <c r="N161" s="606"/>
      <c r="O161" s="606"/>
      <c r="P161" s="698"/>
      <c r="Q161" s="698"/>
      <c r="R161" s="698"/>
      <c r="S161" s="698"/>
      <c r="T161" s="697"/>
    </row>
    <row r="162" spans="1:20" hidden="1">
      <c r="A162" s="777" t="s">
        <v>301</v>
      </c>
      <c r="B162" s="690" t="s">
        <v>680</v>
      </c>
      <c r="C162" s="687"/>
      <c r="D162" s="688">
        <f>'[2]总投资-发采购-0411-GLP拆分场外费用(司调)'!G34</f>
        <v>128.09216000000001</v>
      </c>
      <c r="E162" s="693">
        <f t="shared" si="9"/>
        <v>18.015774964838258</v>
      </c>
      <c r="F162" s="689">
        <f t="shared" si="11"/>
        <v>18.015774964838258</v>
      </c>
      <c r="G162" s="689">
        <f t="shared" si="12"/>
        <v>128.09216000000001</v>
      </c>
      <c r="H162" s="606"/>
      <c r="I162" s="606"/>
      <c r="J162" s="606"/>
      <c r="K162" s="590" t="s">
        <v>224</v>
      </c>
      <c r="L162" s="606"/>
      <c r="M162" s="606"/>
      <c r="N162" s="606"/>
      <c r="O162" s="606"/>
      <c r="P162" s="698"/>
      <c r="Q162" s="698"/>
      <c r="R162" s="698"/>
      <c r="S162" s="698"/>
      <c r="T162" s="697"/>
    </row>
    <row r="163" spans="1:20" hidden="1">
      <c r="A163" s="777" t="s">
        <v>302</v>
      </c>
      <c r="B163" s="690" t="s">
        <v>681</v>
      </c>
      <c r="C163" s="687"/>
      <c r="D163" s="688">
        <f>'[2]总投资-发采购-0411-GLP拆分场外费用(司调)'!G35</f>
        <v>283.63263999999998</v>
      </c>
      <c r="E163" s="693">
        <f t="shared" si="9"/>
        <v>39.892073136427562</v>
      </c>
      <c r="F163" s="689">
        <f t="shared" si="11"/>
        <v>39.892073136427562</v>
      </c>
      <c r="G163" s="689">
        <f t="shared" si="12"/>
        <v>283.63263999999998</v>
      </c>
      <c r="H163" s="606"/>
      <c r="I163" s="606"/>
      <c r="J163" s="606"/>
      <c r="K163" s="590" t="s">
        <v>224</v>
      </c>
      <c r="L163" s="606"/>
      <c r="M163" s="606"/>
      <c r="N163" s="606"/>
      <c r="O163" s="606"/>
      <c r="P163" s="698"/>
      <c r="Q163" s="698"/>
      <c r="R163" s="698"/>
      <c r="S163" s="698"/>
      <c r="T163" s="697"/>
    </row>
    <row r="164" spans="1:20" hidden="1">
      <c r="A164" s="777" t="s">
        <v>303</v>
      </c>
      <c r="B164" s="690" t="s">
        <v>682</v>
      </c>
      <c r="C164" s="687"/>
      <c r="D164" s="688">
        <f>'[2]总投资-发采购-0411-GLP拆分场外费用(司调)'!G36</f>
        <v>78.158937277231303</v>
      </c>
      <c r="E164" s="693">
        <f t="shared" si="9"/>
        <v>10.992818182451659</v>
      </c>
      <c r="F164" s="689">
        <f t="shared" si="11"/>
        <v>10.992818182451659</v>
      </c>
      <c r="G164" s="689">
        <f t="shared" si="12"/>
        <v>78.158937277231303</v>
      </c>
      <c r="H164" s="606"/>
      <c r="I164" s="606"/>
      <c r="J164" s="606"/>
      <c r="K164" s="590" t="s">
        <v>224</v>
      </c>
      <c r="L164" s="606"/>
      <c r="M164" s="606"/>
      <c r="N164" s="606"/>
      <c r="O164" s="606"/>
      <c r="P164" s="698"/>
      <c r="Q164" s="698"/>
      <c r="R164" s="698"/>
      <c r="S164" s="698"/>
      <c r="T164" s="697"/>
    </row>
    <row r="165" spans="1:20" hidden="1">
      <c r="A165" s="777" t="s">
        <v>304</v>
      </c>
      <c r="B165" s="690" t="s">
        <v>683</v>
      </c>
      <c r="C165" s="687"/>
      <c r="D165" s="688">
        <f>'[2]总投资-发采购-0411-GLP拆分场外费用(司调)'!G37</f>
        <v>571.84</v>
      </c>
      <c r="E165" s="693">
        <f t="shared" si="9"/>
        <v>80.427566807313639</v>
      </c>
      <c r="F165" s="689">
        <f t="shared" si="11"/>
        <v>80.427566807313639</v>
      </c>
      <c r="G165" s="689">
        <f t="shared" si="12"/>
        <v>571.84</v>
      </c>
      <c r="H165" s="606"/>
      <c r="I165" s="606"/>
      <c r="J165" s="606"/>
      <c r="K165" s="590" t="s">
        <v>224</v>
      </c>
      <c r="L165" s="606"/>
      <c r="M165" s="606"/>
      <c r="N165" s="606"/>
      <c r="O165" s="606"/>
      <c r="P165" s="698"/>
      <c r="Q165" s="698"/>
      <c r="R165" s="698"/>
      <c r="S165" s="698"/>
      <c r="T165" s="697"/>
    </row>
    <row r="166" spans="1:20" hidden="1">
      <c r="A166" s="777"/>
      <c r="B166" s="779" t="s">
        <v>205</v>
      </c>
      <c r="C166" s="687"/>
      <c r="D166" s="688">
        <f>'[2]总投资-发采购-0411-GLP拆分场外费用(司调)'!G38</f>
        <v>1036.6793421714001</v>
      </c>
      <c r="E166" s="693">
        <f t="shared" si="9"/>
        <v>145.80581465139241</v>
      </c>
      <c r="F166" s="689">
        <f t="shared" si="11"/>
        <v>145.80581465139241</v>
      </c>
      <c r="G166" s="689">
        <f t="shared" si="12"/>
        <v>1036.6793421714001</v>
      </c>
      <c r="H166" s="606"/>
      <c r="I166" s="606"/>
      <c r="J166" s="606"/>
      <c r="K166" s="590" t="s">
        <v>224</v>
      </c>
      <c r="L166" s="606"/>
      <c r="M166" s="606"/>
      <c r="N166" s="606"/>
      <c r="O166" s="606"/>
      <c r="P166" s="698"/>
      <c r="Q166" s="698"/>
      <c r="R166" s="698"/>
      <c r="S166" s="698"/>
      <c r="T166" s="697"/>
    </row>
    <row r="167" spans="1:20" hidden="1">
      <c r="A167" s="777" t="s">
        <v>305</v>
      </c>
      <c r="B167" s="690" t="s">
        <v>685</v>
      </c>
      <c r="C167" s="687"/>
      <c r="D167" s="688">
        <f>'[2]总投资-发采购-0411-GLP拆分场外费用(司调)'!G39</f>
        <v>66</v>
      </c>
      <c r="E167" s="693">
        <f t="shared" si="9"/>
        <v>9.2827004219409286</v>
      </c>
      <c r="F167" s="689">
        <f t="shared" si="11"/>
        <v>9.2827004219409286</v>
      </c>
      <c r="G167" s="689">
        <f t="shared" si="12"/>
        <v>66</v>
      </c>
      <c r="H167" s="606"/>
      <c r="I167" s="606"/>
      <c r="J167" s="606"/>
      <c r="K167" s="590" t="s">
        <v>224</v>
      </c>
      <c r="L167" s="606"/>
      <c r="M167" s="606"/>
      <c r="N167" s="606"/>
      <c r="O167" s="606"/>
      <c r="P167" s="698"/>
      <c r="Q167" s="698"/>
      <c r="R167" s="698"/>
      <c r="S167" s="698"/>
      <c r="T167" s="697"/>
    </row>
    <row r="168" spans="1:20" hidden="1">
      <c r="A168" s="777"/>
      <c r="B168" s="690" t="s">
        <v>686</v>
      </c>
      <c r="C168" s="687"/>
      <c r="D168" s="688">
        <f>'[2]总投资-发采购-0411-GLP拆分场外费用(司调)'!G40</f>
        <v>2</v>
      </c>
      <c r="E168" s="693">
        <f t="shared" si="9"/>
        <v>0.28129395218002812</v>
      </c>
      <c r="F168" s="689">
        <f t="shared" si="11"/>
        <v>0.28129395218002812</v>
      </c>
      <c r="G168" s="689">
        <f t="shared" si="12"/>
        <v>2</v>
      </c>
      <c r="H168" s="606"/>
      <c r="I168" s="606"/>
      <c r="J168" s="606"/>
      <c r="K168" s="590" t="s">
        <v>224</v>
      </c>
      <c r="L168" s="606"/>
      <c r="M168" s="606"/>
      <c r="N168" s="606"/>
      <c r="O168" s="606"/>
      <c r="P168" s="698"/>
      <c r="Q168" s="698"/>
      <c r="R168" s="698"/>
      <c r="S168" s="698"/>
      <c r="T168" s="697"/>
    </row>
    <row r="169" spans="1:20" hidden="1">
      <c r="A169" s="777"/>
      <c r="B169" s="690" t="s">
        <v>687</v>
      </c>
      <c r="C169" s="687"/>
      <c r="D169" s="688">
        <f>'[2]总投资-发采购-0411-GLP拆分场外费用(司调)'!G41</f>
        <v>11</v>
      </c>
      <c r="E169" s="693">
        <f t="shared" si="9"/>
        <v>1.5471167369901546</v>
      </c>
      <c r="F169" s="689">
        <f t="shared" si="11"/>
        <v>1.5471167369901546</v>
      </c>
      <c r="G169" s="689">
        <f t="shared" si="12"/>
        <v>11</v>
      </c>
      <c r="H169" s="606"/>
      <c r="I169" s="606"/>
      <c r="J169" s="606"/>
      <c r="K169" s="590" t="s">
        <v>224</v>
      </c>
      <c r="L169" s="606"/>
      <c r="M169" s="606"/>
      <c r="N169" s="606"/>
      <c r="O169" s="606"/>
      <c r="P169" s="698"/>
      <c r="Q169" s="698"/>
      <c r="R169" s="698"/>
      <c r="S169" s="698"/>
      <c r="T169" s="697"/>
    </row>
    <row r="170" spans="1:20" hidden="1">
      <c r="A170" s="777"/>
      <c r="B170" s="690" t="s">
        <v>688</v>
      </c>
      <c r="C170" s="687"/>
      <c r="D170" s="688">
        <f>'[2]总投资-发采购-0411-GLP拆分场外费用(司调)'!G42</f>
        <v>53</v>
      </c>
      <c r="E170" s="693">
        <f t="shared" si="9"/>
        <v>7.4542897327707447</v>
      </c>
      <c r="F170" s="689">
        <f t="shared" si="11"/>
        <v>7.4542897327707447</v>
      </c>
      <c r="G170" s="689">
        <f t="shared" si="12"/>
        <v>53</v>
      </c>
      <c r="H170" s="606"/>
      <c r="I170" s="606"/>
      <c r="J170" s="606"/>
      <c r="K170" s="590" t="s">
        <v>224</v>
      </c>
      <c r="L170" s="606"/>
      <c r="M170" s="606"/>
      <c r="N170" s="606"/>
      <c r="O170" s="606"/>
      <c r="P170" s="698"/>
      <c r="Q170" s="698"/>
      <c r="R170" s="698"/>
      <c r="S170" s="698"/>
      <c r="T170" s="697"/>
    </row>
    <row r="171" spans="1:20" hidden="1">
      <c r="A171" s="777">
        <v>2.5</v>
      </c>
      <c r="B171" s="690" t="s">
        <v>725</v>
      </c>
      <c r="C171" s="687"/>
      <c r="D171" s="688">
        <f>'[2]总投资-发采购-0411-GLP拆分场外费用(司调)'!G43</f>
        <v>5952.1708779011697</v>
      </c>
      <c r="E171" s="693">
        <f t="shared" si="9"/>
        <v>837.15483514784376</v>
      </c>
      <c r="F171" s="689">
        <f t="shared" si="11"/>
        <v>837.15483514784376</v>
      </c>
      <c r="G171" s="689">
        <f t="shared" si="12"/>
        <v>5952.1708779011697</v>
      </c>
      <c r="H171" s="606"/>
      <c r="I171" s="606"/>
      <c r="J171" s="606"/>
      <c r="K171" s="590" t="s">
        <v>224</v>
      </c>
      <c r="L171" s="606"/>
      <c r="M171" s="606"/>
      <c r="N171" s="606"/>
      <c r="O171" s="606"/>
      <c r="P171" s="698"/>
      <c r="Q171" s="698"/>
      <c r="R171" s="698"/>
      <c r="S171" s="698"/>
      <c r="T171" s="697"/>
    </row>
    <row r="172" spans="1:20" hidden="1">
      <c r="A172" s="777" t="s">
        <v>307</v>
      </c>
      <c r="B172" s="690" t="s">
        <v>677</v>
      </c>
      <c r="C172" s="687"/>
      <c r="D172" s="688">
        <f>'[2]总投资-发采购-0411-GLP拆分场外费用(司调)'!G44</f>
        <v>3574</v>
      </c>
      <c r="E172" s="693">
        <f t="shared" si="9"/>
        <v>502.67229254571026</v>
      </c>
      <c r="F172" s="689">
        <f t="shared" si="11"/>
        <v>502.67229254571026</v>
      </c>
      <c r="G172" s="689">
        <f t="shared" si="12"/>
        <v>3574</v>
      </c>
      <c r="H172" s="606"/>
      <c r="I172" s="606"/>
      <c r="J172" s="606"/>
      <c r="K172" s="590" t="s">
        <v>224</v>
      </c>
      <c r="L172" s="606"/>
      <c r="M172" s="606"/>
      <c r="N172" s="606"/>
      <c r="O172" s="606"/>
      <c r="P172" s="698"/>
      <c r="Q172" s="698"/>
      <c r="R172" s="698"/>
      <c r="S172" s="698"/>
      <c r="T172" s="697"/>
    </row>
    <row r="173" spans="1:20" hidden="1">
      <c r="A173" s="777" t="s">
        <v>308</v>
      </c>
      <c r="B173" s="690" t="s">
        <v>678</v>
      </c>
      <c r="C173" s="687"/>
      <c r="D173" s="688">
        <f>'[2]总投资-发采购-0411-GLP拆分场外费用(司调)'!G45</f>
        <v>18.29888</v>
      </c>
      <c r="E173" s="693">
        <f t="shared" si="9"/>
        <v>2.5736821378340364</v>
      </c>
      <c r="F173" s="689">
        <f t="shared" si="11"/>
        <v>2.5736821378340364</v>
      </c>
      <c r="G173" s="689">
        <f t="shared" si="12"/>
        <v>18.29888</v>
      </c>
      <c r="H173" s="606"/>
      <c r="I173" s="606"/>
      <c r="J173" s="606"/>
      <c r="K173" s="590" t="s">
        <v>224</v>
      </c>
      <c r="L173" s="606"/>
      <c r="M173" s="606"/>
      <c r="N173" s="606"/>
      <c r="O173" s="606"/>
      <c r="P173" s="698"/>
      <c r="Q173" s="698"/>
      <c r="R173" s="698"/>
      <c r="S173" s="698"/>
      <c r="T173" s="697"/>
    </row>
    <row r="174" spans="1:20" hidden="1">
      <c r="A174" s="777" t="s">
        <v>309</v>
      </c>
      <c r="B174" s="690" t="s">
        <v>679</v>
      </c>
      <c r="C174" s="687"/>
      <c r="D174" s="688">
        <f>'[2]总投资-发采购-0411-GLP拆分场外费用(司调)'!G46</f>
        <v>164.68992</v>
      </c>
      <c r="E174" s="693">
        <f t="shared" si="9"/>
        <v>23.163139240506329</v>
      </c>
      <c r="F174" s="689">
        <f t="shared" si="11"/>
        <v>23.163139240506329</v>
      </c>
      <c r="G174" s="689">
        <f t="shared" si="12"/>
        <v>164.68992</v>
      </c>
      <c r="H174" s="606"/>
      <c r="I174" s="606"/>
      <c r="J174" s="606"/>
      <c r="K174" s="590" t="s">
        <v>224</v>
      </c>
      <c r="L174" s="606"/>
      <c r="M174" s="606"/>
      <c r="N174" s="606"/>
      <c r="O174" s="606"/>
      <c r="P174" s="698"/>
      <c r="Q174" s="698"/>
      <c r="R174" s="698"/>
      <c r="S174" s="698"/>
      <c r="T174" s="697"/>
    </row>
    <row r="175" spans="1:20" hidden="1">
      <c r="A175" s="777" t="s">
        <v>310</v>
      </c>
      <c r="B175" s="690" t="s">
        <v>680</v>
      </c>
      <c r="C175" s="687"/>
      <c r="D175" s="688">
        <f>'[2]总投资-发采购-0411-GLP拆分场外费用(司调)'!G47</f>
        <v>128.09216000000001</v>
      </c>
      <c r="E175" s="693">
        <f t="shared" si="9"/>
        <v>18.015774964838258</v>
      </c>
      <c r="F175" s="689">
        <f t="shared" si="11"/>
        <v>18.015774964838258</v>
      </c>
      <c r="G175" s="689">
        <f t="shared" si="12"/>
        <v>128.09216000000001</v>
      </c>
      <c r="H175" s="606"/>
      <c r="I175" s="606"/>
      <c r="J175" s="606"/>
      <c r="K175" s="590" t="s">
        <v>224</v>
      </c>
      <c r="L175" s="606"/>
      <c r="M175" s="606"/>
      <c r="N175" s="606"/>
      <c r="O175" s="606"/>
      <c r="P175" s="698"/>
      <c r="Q175" s="698"/>
      <c r="R175" s="698"/>
      <c r="S175" s="698"/>
      <c r="T175" s="697"/>
    </row>
    <row r="176" spans="1:20" hidden="1">
      <c r="A176" s="777" t="s">
        <v>311</v>
      </c>
      <c r="B176" s="690" t="s">
        <v>681</v>
      </c>
      <c r="C176" s="687"/>
      <c r="D176" s="688">
        <f>'[2]总投资-发采购-0411-GLP拆分场外费用(司调)'!G48</f>
        <v>283.63263999999998</v>
      </c>
      <c r="E176" s="693">
        <f t="shared" si="9"/>
        <v>39.892073136427562</v>
      </c>
      <c r="F176" s="689">
        <f t="shared" si="11"/>
        <v>39.892073136427562</v>
      </c>
      <c r="G176" s="689">
        <f t="shared" si="12"/>
        <v>283.63263999999998</v>
      </c>
      <c r="H176" s="606"/>
      <c r="I176" s="606"/>
      <c r="J176" s="606"/>
      <c r="K176" s="590" t="s">
        <v>224</v>
      </c>
      <c r="L176" s="606"/>
      <c r="M176" s="606"/>
      <c r="N176" s="606"/>
      <c r="O176" s="606"/>
      <c r="P176" s="698"/>
      <c r="Q176" s="698"/>
      <c r="R176" s="698"/>
      <c r="S176" s="698"/>
      <c r="T176" s="697"/>
    </row>
    <row r="177" spans="1:20" hidden="1">
      <c r="A177" s="777" t="s">
        <v>312</v>
      </c>
      <c r="B177" s="690" t="s">
        <v>682</v>
      </c>
      <c r="C177" s="687"/>
      <c r="D177" s="688">
        <f>'[2]总投资-发采购-0411-GLP拆分场外费用(司调)'!G49</f>
        <v>78.158937277231303</v>
      </c>
      <c r="E177" s="693">
        <f t="shared" si="9"/>
        <v>10.992818182451659</v>
      </c>
      <c r="F177" s="689">
        <f t="shared" si="11"/>
        <v>10.992818182451659</v>
      </c>
      <c r="G177" s="689">
        <f t="shared" si="12"/>
        <v>78.158937277231303</v>
      </c>
      <c r="H177" s="606"/>
      <c r="I177" s="606"/>
      <c r="J177" s="606"/>
      <c r="K177" s="590" t="s">
        <v>224</v>
      </c>
      <c r="L177" s="606"/>
      <c r="M177" s="606"/>
      <c r="N177" s="606"/>
      <c r="O177" s="606"/>
      <c r="P177" s="698"/>
      <c r="Q177" s="698"/>
      <c r="R177" s="698"/>
      <c r="S177" s="698"/>
      <c r="T177" s="697"/>
    </row>
    <row r="178" spans="1:20" hidden="1">
      <c r="A178" s="777" t="s">
        <v>313</v>
      </c>
      <c r="B178" s="690" t="s">
        <v>683</v>
      </c>
      <c r="C178" s="687"/>
      <c r="D178" s="688">
        <f>'[2]总投资-发采购-0411-GLP拆分场外费用(司调)'!G50</f>
        <v>571.84</v>
      </c>
      <c r="E178" s="693">
        <f t="shared" si="9"/>
        <v>80.427566807313639</v>
      </c>
      <c r="F178" s="689">
        <f t="shared" si="11"/>
        <v>80.427566807313639</v>
      </c>
      <c r="G178" s="689">
        <f t="shared" si="12"/>
        <v>571.84</v>
      </c>
      <c r="H178" s="606"/>
      <c r="I178" s="606"/>
      <c r="J178" s="606"/>
      <c r="K178" s="590" t="s">
        <v>224</v>
      </c>
      <c r="L178" s="606"/>
      <c r="M178" s="606"/>
      <c r="N178" s="606"/>
      <c r="O178" s="606"/>
      <c r="P178" s="698"/>
      <c r="Q178" s="698"/>
      <c r="R178" s="698"/>
      <c r="S178" s="698"/>
      <c r="T178" s="697"/>
    </row>
    <row r="179" spans="1:20" hidden="1">
      <c r="A179" s="777"/>
      <c r="B179" s="779" t="s">
        <v>205</v>
      </c>
      <c r="C179" s="687"/>
      <c r="D179" s="688">
        <f>'[2]总投资-发采购-0411-GLP拆分场外费用(司调)'!G51</f>
        <v>1068.4583406239401</v>
      </c>
      <c r="E179" s="693">
        <f t="shared" si="9"/>
        <v>150.27543468691141</v>
      </c>
      <c r="F179" s="689">
        <f t="shared" si="11"/>
        <v>150.27543468691141</v>
      </c>
      <c r="G179" s="689">
        <f t="shared" si="12"/>
        <v>1068.4583406239401</v>
      </c>
      <c r="H179" s="606"/>
      <c r="I179" s="606"/>
      <c r="J179" s="606"/>
      <c r="K179" s="590" t="s">
        <v>224</v>
      </c>
      <c r="L179" s="606"/>
      <c r="M179" s="606"/>
      <c r="N179" s="606"/>
      <c r="O179" s="606"/>
      <c r="P179" s="698"/>
      <c r="Q179" s="698"/>
      <c r="R179" s="698"/>
      <c r="S179" s="698"/>
      <c r="T179" s="697"/>
    </row>
    <row r="180" spans="1:20" hidden="1">
      <c r="A180" s="777" t="s">
        <v>314</v>
      </c>
      <c r="B180" s="690" t="s">
        <v>685</v>
      </c>
      <c r="C180" s="687"/>
      <c r="D180" s="688">
        <f>'[2]总投资-发采购-0411-GLP拆分场外费用(司调)'!G52</f>
        <v>65</v>
      </c>
      <c r="E180" s="693">
        <f t="shared" si="9"/>
        <v>9.1420534458509142</v>
      </c>
      <c r="F180" s="689">
        <f t="shared" si="11"/>
        <v>9.1420534458509142</v>
      </c>
      <c r="G180" s="689">
        <f t="shared" si="12"/>
        <v>65</v>
      </c>
      <c r="H180" s="606"/>
      <c r="I180" s="606"/>
      <c r="J180" s="606"/>
      <c r="K180" s="590" t="s">
        <v>224</v>
      </c>
      <c r="L180" s="606"/>
      <c r="M180" s="606"/>
      <c r="N180" s="606"/>
      <c r="O180" s="606"/>
      <c r="P180" s="698"/>
      <c r="Q180" s="698"/>
      <c r="R180" s="698"/>
      <c r="S180" s="698"/>
      <c r="T180" s="697"/>
    </row>
    <row r="181" spans="1:20" hidden="1">
      <c r="A181" s="777"/>
      <c r="B181" s="690" t="s">
        <v>686</v>
      </c>
      <c r="C181" s="687"/>
      <c r="D181" s="688">
        <f>'[2]总投资-发采购-0411-GLP拆分场外费用(司调)'!G53</f>
        <v>1</v>
      </c>
      <c r="E181" s="693">
        <f t="shared" si="9"/>
        <v>0.14064697609001406</v>
      </c>
      <c r="F181" s="689">
        <f t="shared" si="11"/>
        <v>0.14064697609001406</v>
      </c>
      <c r="G181" s="689">
        <f t="shared" si="12"/>
        <v>1</v>
      </c>
      <c r="H181" s="606"/>
      <c r="I181" s="606"/>
      <c r="J181" s="606"/>
      <c r="K181" s="590" t="s">
        <v>224</v>
      </c>
      <c r="L181" s="606"/>
      <c r="M181" s="606"/>
      <c r="N181" s="606"/>
      <c r="O181" s="606"/>
      <c r="P181" s="698"/>
      <c r="Q181" s="698"/>
      <c r="R181" s="698"/>
      <c r="S181" s="698"/>
      <c r="T181" s="697"/>
    </row>
    <row r="182" spans="1:20" hidden="1">
      <c r="A182" s="777"/>
      <c r="B182" s="690" t="s">
        <v>687</v>
      </c>
      <c r="C182" s="687"/>
      <c r="D182" s="688">
        <f>'[2]总投资-发采购-0411-GLP拆分场外费用(司调)'!G54</f>
        <v>11</v>
      </c>
      <c r="E182" s="693">
        <f t="shared" si="9"/>
        <v>1.5471167369901546</v>
      </c>
      <c r="F182" s="689">
        <f t="shared" si="11"/>
        <v>1.5471167369901546</v>
      </c>
      <c r="G182" s="689">
        <f t="shared" si="12"/>
        <v>11</v>
      </c>
      <c r="H182" s="606"/>
      <c r="I182" s="606"/>
      <c r="J182" s="606"/>
      <c r="K182" s="590" t="s">
        <v>224</v>
      </c>
      <c r="L182" s="606"/>
      <c r="M182" s="606"/>
      <c r="N182" s="606"/>
      <c r="O182" s="606"/>
      <c r="P182" s="698"/>
      <c r="Q182" s="698"/>
      <c r="R182" s="698"/>
      <c r="S182" s="698"/>
      <c r="T182" s="697"/>
    </row>
    <row r="183" spans="1:20" hidden="1">
      <c r="A183" s="777"/>
      <c r="B183" s="690" t="s">
        <v>688</v>
      </c>
      <c r="C183" s="687"/>
      <c r="D183" s="688">
        <f>'[2]总投资-发采购-0411-GLP拆分场外费用(司调)'!G55</f>
        <v>53</v>
      </c>
      <c r="E183" s="693">
        <f t="shared" ref="E183:E210" si="13">D183/$A$3</f>
        <v>7.4542897327707447</v>
      </c>
      <c r="F183" s="689">
        <f t="shared" si="11"/>
        <v>7.4542897327707447</v>
      </c>
      <c r="G183" s="689">
        <f t="shared" si="12"/>
        <v>53</v>
      </c>
      <c r="H183" s="606"/>
      <c r="I183" s="606"/>
      <c r="J183" s="606"/>
      <c r="K183" s="590" t="s">
        <v>224</v>
      </c>
      <c r="L183" s="606"/>
      <c r="M183" s="606"/>
      <c r="N183" s="606"/>
      <c r="O183" s="606"/>
      <c r="P183" s="698"/>
      <c r="Q183" s="698"/>
      <c r="R183" s="698"/>
      <c r="S183" s="698"/>
      <c r="T183" s="697"/>
    </row>
    <row r="184" spans="1:20" hidden="1">
      <c r="A184" s="777">
        <v>2.6</v>
      </c>
      <c r="B184" s="690" t="s">
        <v>726</v>
      </c>
      <c r="C184" s="687"/>
      <c r="D184" s="688">
        <f>'[2]总投资-发采购-0411-GLP拆分场外费用(司调)'!G56</f>
        <v>5747.9617310399199</v>
      </c>
      <c r="E184" s="693">
        <f t="shared" si="13"/>
        <v>808.43343615188746</v>
      </c>
      <c r="F184" s="689">
        <f t="shared" si="11"/>
        <v>808.43343615188746</v>
      </c>
      <c r="G184" s="689">
        <f t="shared" si="12"/>
        <v>5747.9617310399199</v>
      </c>
      <c r="H184" s="606"/>
      <c r="I184" s="606"/>
      <c r="J184" s="606"/>
      <c r="K184" s="590" t="s">
        <v>224</v>
      </c>
      <c r="L184" s="606"/>
      <c r="M184" s="606"/>
      <c r="N184" s="606"/>
      <c r="O184" s="606"/>
      <c r="P184" s="698"/>
      <c r="Q184" s="698"/>
      <c r="R184" s="698"/>
      <c r="S184" s="698"/>
      <c r="T184" s="697"/>
    </row>
    <row r="185" spans="1:20" hidden="1">
      <c r="A185" s="777" t="s">
        <v>316</v>
      </c>
      <c r="B185" s="690" t="s">
        <v>677</v>
      </c>
      <c r="C185" s="687"/>
      <c r="D185" s="688">
        <f>'[2]总投资-发采购-0411-GLP拆分场外费用(司调)'!G57</f>
        <v>3574</v>
      </c>
      <c r="E185" s="693">
        <f t="shared" si="13"/>
        <v>502.67229254571026</v>
      </c>
      <c r="F185" s="689">
        <f t="shared" si="11"/>
        <v>502.67229254571026</v>
      </c>
      <c r="G185" s="689">
        <f t="shared" si="12"/>
        <v>3574</v>
      </c>
      <c r="H185" s="606"/>
      <c r="I185" s="606"/>
      <c r="J185" s="606"/>
      <c r="K185" s="590" t="s">
        <v>224</v>
      </c>
      <c r="L185" s="606"/>
      <c r="M185" s="606"/>
      <c r="N185" s="606"/>
      <c r="O185" s="606"/>
      <c r="P185" s="698"/>
      <c r="Q185" s="698"/>
      <c r="R185" s="698"/>
      <c r="S185" s="698"/>
      <c r="T185" s="697"/>
    </row>
    <row r="186" spans="1:20" hidden="1">
      <c r="A186" s="777" t="s">
        <v>317</v>
      </c>
      <c r="B186" s="690" t="s">
        <v>678</v>
      </c>
      <c r="C186" s="687"/>
      <c r="D186" s="688">
        <f>'[2]总投资-发采购-0411-GLP拆分场外费用(司调)'!G58</f>
        <v>18.29888</v>
      </c>
      <c r="E186" s="693">
        <f t="shared" si="13"/>
        <v>2.5736821378340364</v>
      </c>
      <c r="F186" s="689">
        <f t="shared" si="11"/>
        <v>2.5736821378340364</v>
      </c>
      <c r="G186" s="689">
        <f t="shared" si="12"/>
        <v>18.29888</v>
      </c>
      <c r="H186" s="606"/>
      <c r="I186" s="606"/>
      <c r="J186" s="606"/>
      <c r="K186" s="590" t="s">
        <v>224</v>
      </c>
      <c r="L186" s="606"/>
      <c r="M186" s="606"/>
      <c r="N186" s="606"/>
      <c r="O186" s="606"/>
      <c r="P186" s="698"/>
      <c r="Q186" s="698"/>
      <c r="R186" s="698"/>
      <c r="S186" s="698"/>
      <c r="T186" s="697"/>
    </row>
    <row r="187" spans="1:20" hidden="1">
      <c r="A187" s="777" t="s">
        <v>318</v>
      </c>
      <c r="B187" s="690" t="s">
        <v>679</v>
      </c>
      <c r="C187" s="687"/>
      <c r="D187" s="688">
        <f>'[2]总投资-发采购-0411-GLP拆分场外费用(司调)'!G59</f>
        <v>164.68992</v>
      </c>
      <c r="E187" s="693">
        <f t="shared" si="13"/>
        <v>23.163139240506329</v>
      </c>
      <c r="F187" s="689">
        <f t="shared" si="11"/>
        <v>23.163139240506329</v>
      </c>
      <c r="G187" s="689">
        <f t="shared" si="12"/>
        <v>164.68992</v>
      </c>
      <c r="H187" s="606"/>
      <c r="I187" s="606"/>
      <c r="J187" s="606"/>
      <c r="K187" s="590" t="s">
        <v>224</v>
      </c>
      <c r="L187" s="606"/>
      <c r="M187" s="606"/>
      <c r="N187" s="606"/>
      <c r="O187" s="606"/>
      <c r="P187" s="698"/>
      <c r="Q187" s="698"/>
      <c r="R187" s="698"/>
      <c r="S187" s="698"/>
      <c r="T187" s="697"/>
    </row>
    <row r="188" spans="1:20" hidden="1">
      <c r="A188" s="777" t="s">
        <v>319</v>
      </c>
      <c r="B188" s="690" t="s">
        <v>680</v>
      </c>
      <c r="C188" s="687"/>
      <c r="D188" s="688">
        <f>'[2]总投资-发采购-0411-GLP拆分场外费用(司调)'!G60</f>
        <v>128.09216000000001</v>
      </c>
      <c r="E188" s="693">
        <f t="shared" si="13"/>
        <v>18.015774964838258</v>
      </c>
      <c r="F188" s="689">
        <f t="shared" si="11"/>
        <v>18.015774964838258</v>
      </c>
      <c r="G188" s="689">
        <f t="shared" si="12"/>
        <v>128.09216000000001</v>
      </c>
      <c r="H188" s="606"/>
      <c r="I188" s="606"/>
      <c r="J188" s="606"/>
      <c r="K188" s="590" t="s">
        <v>224</v>
      </c>
      <c r="L188" s="606"/>
      <c r="M188" s="606"/>
      <c r="N188" s="606"/>
      <c r="O188" s="606"/>
      <c r="P188" s="698"/>
      <c r="Q188" s="698"/>
      <c r="R188" s="698"/>
      <c r="S188" s="698"/>
      <c r="T188" s="697"/>
    </row>
    <row r="189" spans="1:20" hidden="1">
      <c r="A189" s="777" t="s">
        <v>320</v>
      </c>
      <c r="B189" s="690" t="s">
        <v>681</v>
      </c>
      <c r="C189" s="687"/>
      <c r="D189" s="688">
        <f>'[2]总投资-发采购-0411-GLP拆分场外费用(司调)'!G61</f>
        <v>283.63263999999998</v>
      </c>
      <c r="E189" s="693">
        <f t="shared" si="13"/>
        <v>39.892073136427562</v>
      </c>
      <c r="F189" s="689">
        <f t="shared" si="11"/>
        <v>39.892073136427562</v>
      </c>
      <c r="G189" s="689">
        <f t="shared" si="12"/>
        <v>283.63263999999998</v>
      </c>
      <c r="H189" s="606"/>
      <c r="I189" s="606"/>
      <c r="J189" s="606"/>
      <c r="K189" s="590" t="s">
        <v>224</v>
      </c>
      <c r="L189" s="606"/>
      <c r="M189" s="606"/>
      <c r="N189" s="606"/>
      <c r="O189" s="606"/>
      <c r="P189" s="698"/>
      <c r="Q189" s="698"/>
      <c r="R189" s="698"/>
      <c r="S189" s="698"/>
      <c r="T189" s="697"/>
    </row>
    <row r="190" spans="1:20" hidden="1">
      <c r="A190" s="777" t="s">
        <v>321</v>
      </c>
      <c r="B190" s="690" t="s">
        <v>682</v>
      </c>
      <c r="C190" s="687"/>
      <c r="D190" s="688">
        <f>'[2]总投资-发采购-0411-GLP拆分场外费用(司调)'!G62</f>
        <v>78.158937277231303</v>
      </c>
      <c r="E190" s="693">
        <f t="shared" si="13"/>
        <v>10.992818182451659</v>
      </c>
      <c r="F190" s="689">
        <f t="shared" si="11"/>
        <v>10.992818182451659</v>
      </c>
      <c r="G190" s="689">
        <f t="shared" si="12"/>
        <v>78.158937277231303</v>
      </c>
      <c r="H190" s="606"/>
      <c r="I190" s="606"/>
      <c r="J190" s="606"/>
      <c r="K190" s="590" t="s">
        <v>224</v>
      </c>
      <c r="L190" s="606"/>
      <c r="M190" s="606"/>
      <c r="N190" s="606"/>
      <c r="O190" s="606"/>
      <c r="P190" s="698"/>
      <c r="Q190" s="698"/>
      <c r="R190" s="698"/>
      <c r="S190" s="698"/>
      <c r="T190" s="697"/>
    </row>
    <row r="191" spans="1:20" hidden="1">
      <c r="A191" s="777" t="s">
        <v>322</v>
      </c>
      <c r="B191" s="690" t="s">
        <v>683</v>
      </c>
      <c r="C191" s="687"/>
      <c r="D191" s="688">
        <f>'[2]总投资-发采购-0411-GLP拆分场外费用(司调)'!G63</f>
        <v>571.84</v>
      </c>
      <c r="E191" s="693">
        <f t="shared" si="13"/>
        <v>80.427566807313639</v>
      </c>
      <c r="F191" s="689">
        <f t="shared" si="11"/>
        <v>80.427566807313639</v>
      </c>
      <c r="G191" s="689">
        <f t="shared" si="12"/>
        <v>571.84</v>
      </c>
      <c r="H191" s="606"/>
      <c r="I191" s="606"/>
      <c r="J191" s="606"/>
      <c r="K191" s="590" t="s">
        <v>224</v>
      </c>
      <c r="L191" s="606"/>
      <c r="M191" s="606"/>
      <c r="N191" s="606"/>
      <c r="O191" s="606"/>
      <c r="P191" s="698"/>
      <c r="Q191" s="698"/>
      <c r="R191" s="698"/>
      <c r="S191" s="698"/>
      <c r="T191" s="697"/>
    </row>
    <row r="192" spans="1:20" hidden="1">
      <c r="A192" s="777"/>
      <c r="B192" s="779" t="s">
        <v>205</v>
      </c>
      <c r="C192" s="687"/>
      <c r="D192" s="688">
        <f>'[2]总投资-发采购-0411-GLP拆分场外费用(司调)'!G64</f>
        <v>864.24919376268497</v>
      </c>
      <c r="E192" s="693">
        <f t="shared" si="13"/>
        <v>121.55403569095428</v>
      </c>
      <c r="F192" s="689">
        <f t="shared" si="11"/>
        <v>121.55403569095428</v>
      </c>
      <c r="G192" s="689">
        <f t="shared" si="12"/>
        <v>864.24919376268497</v>
      </c>
      <c r="H192" s="606"/>
      <c r="I192" s="606"/>
      <c r="J192" s="606"/>
      <c r="K192" s="590" t="s">
        <v>224</v>
      </c>
      <c r="L192" s="606"/>
      <c r="M192" s="606"/>
      <c r="N192" s="606"/>
      <c r="O192" s="606"/>
      <c r="P192" s="698"/>
      <c r="Q192" s="698"/>
      <c r="R192" s="698"/>
      <c r="S192" s="698"/>
      <c r="T192" s="697"/>
    </row>
    <row r="193" spans="1:20" hidden="1">
      <c r="A193" s="777" t="s">
        <v>323</v>
      </c>
      <c r="B193" s="690" t="s">
        <v>685</v>
      </c>
      <c r="C193" s="687"/>
      <c r="D193" s="688">
        <f>'[2]总投资-发采购-0411-GLP拆分场外费用(司调)'!G65</f>
        <v>65</v>
      </c>
      <c r="E193" s="693">
        <f t="shared" si="13"/>
        <v>9.1420534458509142</v>
      </c>
      <c r="F193" s="689">
        <f t="shared" si="11"/>
        <v>9.1420534458509142</v>
      </c>
      <c r="G193" s="689">
        <f t="shared" si="12"/>
        <v>65</v>
      </c>
      <c r="H193" s="606"/>
      <c r="I193" s="606"/>
      <c r="J193" s="606"/>
      <c r="K193" s="590" t="s">
        <v>224</v>
      </c>
      <c r="L193" s="606"/>
      <c r="M193" s="606"/>
      <c r="N193" s="606"/>
      <c r="O193" s="606"/>
      <c r="P193" s="698"/>
      <c r="Q193" s="698"/>
      <c r="R193" s="698"/>
      <c r="S193" s="698"/>
      <c r="T193" s="697"/>
    </row>
    <row r="194" spans="1:20" hidden="1">
      <c r="A194" s="777"/>
      <c r="B194" s="690" t="s">
        <v>686</v>
      </c>
      <c r="C194" s="687"/>
      <c r="D194" s="688">
        <f>'[2]总投资-发采购-0411-GLP拆分场外费用(司调)'!G66</f>
        <v>1</v>
      </c>
      <c r="E194" s="693">
        <f t="shared" si="13"/>
        <v>0.14064697609001406</v>
      </c>
      <c r="F194" s="689">
        <f t="shared" si="11"/>
        <v>0.14064697609001406</v>
      </c>
      <c r="G194" s="689">
        <f t="shared" si="12"/>
        <v>1</v>
      </c>
      <c r="H194" s="606"/>
      <c r="I194" s="606"/>
      <c r="J194" s="606"/>
      <c r="K194" s="590" t="s">
        <v>224</v>
      </c>
      <c r="L194" s="606"/>
      <c r="M194" s="606"/>
      <c r="N194" s="606"/>
      <c r="O194" s="606"/>
      <c r="P194" s="698"/>
      <c r="Q194" s="698"/>
      <c r="R194" s="698"/>
      <c r="S194" s="698"/>
      <c r="T194" s="697"/>
    </row>
    <row r="195" spans="1:20" hidden="1">
      <c r="A195" s="777"/>
      <c r="B195" s="690" t="s">
        <v>687</v>
      </c>
      <c r="C195" s="687"/>
      <c r="D195" s="688">
        <f>'[2]总投资-发采购-0411-GLP拆分场外费用(司调)'!G67</f>
        <v>11</v>
      </c>
      <c r="E195" s="693">
        <f t="shared" si="13"/>
        <v>1.5471167369901546</v>
      </c>
      <c r="F195" s="689">
        <f t="shared" si="11"/>
        <v>1.5471167369901546</v>
      </c>
      <c r="G195" s="689">
        <f t="shared" si="12"/>
        <v>11</v>
      </c>
      <c r="H195" s="606"/>
      <c r="I195" s="606"/>
      <c r="J195" s="606"/>
      <c r="K195" s="590" t="s">
        <v>224</v>
      </c>
      <c r="L195" s="606"/>
      <c r="M195" s="606"/>
      <c r="N195" s="606"/>
      <c r="O195" s="606"/>
      <c r="P195" s="698"/>
      <c r="Q195" s="698"/>
      <c r="R195" s="698"/>
      <c r="S195" s="698"/>
      <c r="T195" s="697"/>
    </row>
    <row r="196" spans="1:20" hidden="1">
      <c r="A196" s="777"/>
      <c r="B196" s="690" t="s">
        <v>688</v>
      </c>
      <c r="C196" s="687"/>
      <c r="D196" s="688">
        <f>'[2]总投资-发采购-0411-GLP拆分场外费用(司调)'!G68</f>
        <v>53</v>
      </c>
      <c r="E196" s="693">
        <f t="shared" si="13"/>
        <v>7.4542897327707447</v>
      </c>
      <c r="F196" s="689">
        <f t="shared" si="11"/>
        <v>7.4542897327707447</v>
      </c>
      <c r="G196" s="689">
        <f t="shared" si="12"/>
        <v>53</v>
      </c>
      <c r="H196" s="606"/>
      <c r="I196" s="606"/>
      <c r="J196" s="606"/>
      <c r="K196" s="590" t="s">
        <v>224</v>
      </c>
      <c r="L196" s="606"/>
      <c r="M196" s="606"/>
      <c r="N196" s="606"/>
      <c r="O196" s="606"/>
      <c r="P196" s="698"/>
      <c r="Q196" s="698"/>
      <c r="R196" s="698"/>
      <c r="S196" s="698"/>
      <c r="T196" s="697"/>
    </row>
    <row r="197" spans="1:20" hidden="1">
      <c r="A197" s="777">
        <v>2.7</v>
      </c>
      <c r="B197" s="690" t="s">
        <v>727</v>
      </c>
      <c r="C197" s="687"/>
      <c r="D197" s="688">
        <f>'[2]总投资-发采购-0411-GLP拆分场外费用(司调)'!G69</f>
        <v>5776.8425281711698</v>
      </c>
      <c r="E197" s="693">
        <f t="shared" si="13"/>
        <v>812.49543293546685</v>
      </c>
      <c r="F197" s="689">
        <f t="shared" si="11"/>
        <v>812.49543293546685</v>
      </c>
      <c r="G197" s="689">
        <f t="shared" si="12"/>
        <v>5776.8425281711698</v>
      </c>
      <c r="H197" s="606"/>
      <c r="I197" s="606"/>
      <c r="J197" s="606"/>
      <c r="K197" s="590" t="s">
        <v>224</v>
      </c>
      <c r="L197" s="606"/>
      <c r="M197" s="606"/>
      <c r="N197" s="606"/>
      <c r="O197" s="606"/>
      <c r="P197" s="698"/>
      <c r="Q197" s="698"/>
      <c r="R197" s="698"/>
      <c r="S197" s="698"/>
      <c r="T197" s="697"/>
    </row>
    <row r="198" spans="1:20" hidden="1">
      <c r="A198" s="777" t="s">
        <v>325</v>
      </c>
      <c r="B198" s="690" t="s">
        <v>677</v>
      </c>
      <c r="C198" s="687"/>
      <c r="D198" s="688">
        <f>'[2]总投资-发采购-0411-GLP拆分场外费用(司调)'!G70</f>
        <v>3574</v>
      </c>
      <c r="E198" s="693">
        <f t="shared" si="13"/>
        <v>502.67229254571026</v>
      </c>
      <c r="F198" s="689">
        <f t="shared" si="11"/>
        <v>502.67229254571026</v>
      </c>
      <c r="G198" s="689">
        <f t="shared" si="12"/>
        <v>3574</v>
      </c>
      <c r="H198" s="606"/>
      <c r="I198" s="606"/>
      <c r="J198" s="606"/>
      <c r="K198" s="590" t="s">
        <v>224</v>
      </c>
      <c r="L198" s="606"/>
      <c r="M198" s="606"/>
      <c r="N198" s="606"/>
      <c r="O198" s="606"/>
      <c r="P198" s="698"/>
      <c r="Q198" s="698"/>
      <c r="R198" s="698"/>
      <c r="S198" s="698"/>
      <c r="T198" s="697"/>
    </row>
    <row r="199" spans="1:20" hidden="1">
      <c r="A199" s="777" t="s">
        <v>326</v>
      </c>
      <c r="B199" s="690" t="s">
        <v>678</v>
      </c>
      <c r="C199" s="687"/>
      <c r="D199" s="688">
        <f>'[2]总投资-发采购-0411-GLP拆分场外费用(司调)'!G71</f>
        <v>18.29888</v>
      </c>
      <c r="E199" s="693">
        <f t="shared" si="13"/>
        <v>2.5736821378340364</v>
      </c>
      <c r="F199" s="689">
        <f t="shared" si="11"/>
        <v>2.5736821378340364</v>
      </c>
      <c r="G199" s="689">
        <f t="shared" si="12"/>
        <v>18.29888</v>
      </c>
      <c r="H199" s="606"/>
      <c r="I199" s="606"/>
      <c r="J199" s="606"/>
      <c r="K199" s="590" t="s">
        <v>224</v>
      </c>
      <c r="L199" s="606"/>
      <c r="M199" s="606"/>
      <c r="N199" s="606"/>
      <c r="O199" s="606"/>
      <c r="P199" s="698"/>
      <c r="Q199" s="698"/>
      <c r="R199" s="698"/>
      <c r="S199" s="698"/>
      <c r="T199" s="697"/>
    </row>
    <row r="200" spans="1:20" hidden="1">
      <c r="A200" s="777" t="s">
        <v>327</v>
      </c>
      <c r="B200" s="690" t="s">
        <v>679</v>
      </c>
      <c r="C200" s="687"/>
      <c r="D200" s="688">
        <f>'[2]总投资-发采购-0411-GLP拆分场外费用(司调)'!G72</f>
        <v>164.68992</v>
      </c>
      <c r="E200" s="693">
        <f t="shared" si="13"/>
        <v>23.163139240506329</v>
      </c>
      <c r="F200" s="689">
        <f t="shared" si="11"/>
        <v>23.163139240506329</v>
      </c>
      <c r="G200" s="689">
        <f t="shared" si="12"/>
        <v>164.68992</v>
      </c>
      <c r="H200" s="606"/>
      <c r="I200" s="606"/>
      <c r="J200" s="606"/>
      <c r="K200" s="590" t="s">
        <v>224</v>
      </c>
      <c r="L200" s="606"/>
      <c r="M200" s="606"/>
      <c r="N200" s="606"/>
      <c r="O200" s="606"/>
      <c r="P200" s="698"/>
      <c r="Q200" s="698"/>
      <c r="R200" s="698"/>
      <c r="S200" s="698"/>
      <c r="T200" s="697"/>
    </row>
    <row r="201" spans="1:20" hidden="1">
      <c r="A201" s="777" t="s">
        <v>328</v>
      </c>
      <c r="B201" s="690" t="s">
        <v>680</v>
      </c>
      <c r="C201" s="687"/>
      <c r="D201" s="688">
        <f>'[2]总投资-发采购-0411-GLP拆分场外费用(司调)'!G73</f>
        <v>128.09216000000001</v>
      </c>
      <c r="E201" s="693">
        <f t="shared" si="13"/>
        <v>18.015774964838258</v>
      </c>
      <c r="F201" s="689">
        <f t="shared" si="11"/>
        <v>18.015774964838258</v>
      </c>
      <c r="G201" s="689">
        <f t="shared" si="12"/>
        <v>128.09216000000001</v>
      </c>
      <c r="H201" s="606"/>
      <c r="I201" s="606"/>
      <c r="J201" s="606"/>
      <c r="K201" s="590" t="s">
        <v>224</v>
      </c>
      <c r="L201" s="606"/>
      <c r="M201" s="606"/>
      <c r="N201" s="606"/>
      <c r="O201" s="606"/>
      <c r="P201" s="698"/>
      <c r="Q201" s="698"/>
      <c r="R201" s="698"/>
      <c r="S201" s="698"/>
      <c r="T201" s="697"/>
    </row>
    <row r="202" spans="1:20" hidden="1">
      <c r="A202" s="777" t="s">
        <v>329</v>
      </c>
      <c r="B202" s="690" t="s">
        <v>681</v>
      </c>
      <c r="C202" s="687"/>
      <c r="D202" s="688">
        <f>'[2]总投资-发采购-0411-GLP拆分场外费用(司调)'!G74</f>
        <v>283.63263999999998</v>
      </c>
      <c r="E202" s="693">
        <f t="shared" si="13"/>
        <v>39.892073136427562</v>
      </c>
      <c r="F202" s="689">
        <f t="shared" si="11"/>
        <v>39.892073136427562</v>
      </c>
      <c r="G202" s="689">
        <f t="shared" si="12"/>
        <v>283.63263999999998</v>
      </c>
      <c r="H202" s="606"/>
      <c r="I202" s="606"/>
      <c r="J202" s="606"/>
      <c r="K202" s="590" t="s">
        <v>224</v>
      </c>
      <c r="L202" s="606"/>
      <c r="M202" s="606"/>
      <c r="N202" s="606"/>
      <c r="O202" s="606"/>
      <c r="P202" s="698"/>
      <c r="Q202" s="698"/>
      <c r="R202" s="698"/>
      <c r="S202" s="698"/>
      <c r="T202" s="697"/>
    </row>
    <row r="203" spans="1:20" hidden="1">
      <c r="A203" s="777" t="s">
        <v>330</v>
      </c>
      <c r="B203" s="690" t="s">
        <v>682</v>
      </c>
      <c r="C203" s="687"/>
      <c r="D203" s="688">
        <f>'[2]总投资-发采购-0411-GLP拆分场外费用(司调)'!G75</f>
        <v>78.158937277231303</v>
      </c>
      <c r="E203" s="693">
        <f t="shared" si="13"/>
        <v>10.992818182451659</v>
      </c>
      <c r="F203" s="689">
        <f t="shared" si="11"/>
        <v>10.992818182451659</v>
      </c>
      <c r="G203" s="689">
        <f t="shared" si="12"/>
        <v>78.158937277231303</v>
      </c>
      <c r="H203" s="606"/>
      <c r="I203" s="606"/>
      <c r="J203" s="606"/>
      <c r="K203" s="590" t="s">
        <v>224</v>
      </c>
      <c r="L203" s="606"/>
      <c r="M203" s="606"/>
      <c r="N203" s="606"/>
      <c r="O203" s="606"/>
      <c r="P203" s="698"/>
      <c r="Q203" s="698"/>
      <c r="R203" s="698"/>
      <c r="S203" s="698"/>
      <c r="T203" s="697"/>
    </row>
    <row r="204" spans="1:20" hidden="1">
      <c r="A204" s="777" t="s">
        <v>331</v>
      </c>
      <c r="B204" s="690" t="s">
        <v>683</v>
      </c>
      <c r="C204" s="687"/>
      <c r="D204" s="688">
        <f>'[2]总投资-发采购-0411-GLP拆分场外费用(司调)'!G76</f>
        <v>571.84</v>
      </c>
      <c r="E204" s="693">
        <f t="shared" si="13"/>
        <v>80.427566807313639</v>
      </c>
      <c r="F204" s="689">
        <f t="shared" si="11"/>
        <v>80.427566807313639</v>
      </c>
      <c r="G204" s="689">
        <f t="shared" si="12"/>
        <v>571.84</v>
      </c>
      <c r="H204" s="606"/>
      <c r="I204" s="606"/>
      <c r="J204" s="606"/>
      <c r="K204" s="590" t="s">
        <v>224</v>
      </c>
      <c r="L204" s="606"/>
      <c r="M204" s="606"/>
      <c r="N204" s="606"/>
      <c r="O204" s="606"/>
      <c r="P204" s="698"/>
      <c r="Q204" s="698"/>
      <c r="R204" s="698"/>
      <c r="S204" s="698"/>
      <c r="T204" s="697"/>
    </row>
    <row r="205" spans="1:20" hidden="1">
      <c r="A205" s="777"/>
      <c r="B205" s="779" t="s">
        <v>205</v>
      </c>
      <c r="C205" s="687"/>
      <c r="D205" s="688">
        <f>'[2]总投资-发采购-0411-GLP拆分场外费用(司调)'!G77</f>
        <v>893.12999089393804</v>
      </c>
      <c r="E205" s="693">
        <f t="shared" si="13"/>
        <v>125.61603247453418</v>
      </c>
      <c r="F205" s="689">
        <f t="shared" si="11"/>
        <v>125.61603247453418</v>
      </c>
      <c r="G205" s="689">
        <f t="shared" si="12"/>
        <v>893.12999089393804</v>
      </c>
      <c r="H205" s="606"/>
      <c r="I205" s="606"/>
      <c r="J205" s="606"/>
      <c r="K205" s="590" t="s">
        <v>224</v>
      </c>
      <c r="L205" s="606"/>
      <c r="M205" s="606"/>
      <c r="N205" s="606"/>
      <c r="O205" s="606"/>
      <c r="P205" s="698"/>
      <c r="Q205" s="698"/>
      <c r="R205" s="698"/>
      <c r="S205" s="698"/>
      <c r="T205" s="697"/>
    </row>
    <row r="206" spans="1:20" hidden="1">
      <c r="A206" s="777" t="s">
        <v>332</v>
      </c>
      <c r="B206" s="690" t="s">
        <v>685</v>
      </c>
      <c r="C206" s="687"/>
      <c r="D206" s="688">
        <f>'[2]总投资-发采购-0411-GLP拆分场外费用(司调)'!G78</f>
        <v>65</v>
      </c>
      <c r="E206" s="693">
        <f t="shared" si="13"/>
        <v>9.1420534458509142</v>
      </c>
      <c r="F206" s="689">
        <f t="shared" si="11"/>
        <v>9.1420534458509142</v>
      </c>
      <c r="G206" s="689">
        <f t="shared" si="12"/>
        <v>65</v>
      </c>
      <c r="H206" s="606"/>
      <c r="I206" s="606"/>
      <c r="J206" s="606"/>
      <c r="K206" s="590" t="s">
        <v>224</v>
      </c>
      <c r="L206" s="606"/>
      <c r="M206" s="606"/>
      <c r="N206" s="606"/>
      <c r="O206" s="606"/>
      <c r="P206" s="698"/>
      <c r="Q206" s="698"/>
      <c r="R206" s="698"/>
      <c r="S206" s="698"/>
      <c r="T206" s="697"/>
    </row>
    <row r="207" spans="1:20" hidden="1">
      <c r="A207" s="777"/>
      <c r="B207" s="690" t="s">
        <v>686</v>
      </c>
      <c r="C207" s="687"/>
      <c r="D207" s="688">
        <f>'[2]总投资-发采购-0411-GLP拆分场外费用(司调)'!G79</f>
        <v>1</v>
      </c>
      <c r="E207" s="693">
        <f t="shared" si="13"/>
        <v>0.14064697609001406</v>
      </c>
      <c r="F207" s="689">
        <f t="shared" si="11"/>
        <v>0.14064697609001406</v>
      </c>
      <c r="G207" s="689">
        <f t="shared" si="12"/>
        <v>1</v>
      </c>
      <c r="H207" s="606"/>
      <c r="I207" s="606"/>
      <c r="J207" s="606"/>
      <c r="K207" s="590" t="s">
        <v>224</v>
      </c>
      <c r="L207" s="606"/>
      <c r="M207" s="606"/>
      <c r="N207" s="606"/>
      <c r="O207" s="606"/>
      <c r="P207" s="698"/>
      <c r="Q207" s="698"/>
      <c r="R207" s="698"/>
      <c r="S207" s="698"/>
      <c r="T207" s="697"/>
    </row>
    <row r="208" spans="1:20" hidden="1">
      <c r="A208" s="777"/>
      <c r="B208" s="690" t="s">
        <v>687</v>
      </c>
      <c r="C208" s="687"/>
      <c r="D208" s="688">
        <f>'[2]总投资-发采购-0411-GLP拆分场外费用(司调)'!G80</f>
        <v>11</v>
      </c>
      <c r="E208" s="693">
        <f t="shared" si="13"/>
        <v>1.5471167369901546</v>
      </c>
      <c r="F208" s="689">
        <f t="shared" ref="F208:F211" si="14">E208</f>
        <v>1.5471167369901546</v>
      </c>
      <c r="G208" s="689">
        <f t="shared" si="12"/>
        <v>11</v>
      </c>
      <c r="H208" s="606"/>
      <c r="I208" s="606"/>
      <c r="J208" s="606"/>
      <c r="K208" s="590" t="s">
        <v>224</v>
      </c>
      <c r="L208" s="606"/>
      <c r="M208" s="606"/>
      <c r="N208" s="606"/>
      <c r="O208" s="606"/>
      <c r="P208" s="698"/>
      <c r="Q208" s="698"/>
      <c r="R208" s="698"/>
      <c r="S208" s="698"/>
      <c r="T208" s="697"/>
    </row>
    <row r="209" spans="1:20" hidden="1">
      <c r="A209" s="777"/>
      <c r="B209" s="690" t="s">
        <v>688</v>
      </c>
      <c r="C209" s="687"/>
      <c r="D209" s="688">
        <f>'[2]总投资-发采购-0411-GLP拆分场外费用(司调)'!G81</f>
        <v>53</v>
      </c>
      <c r="E209" s="693">
        <f t="shared" si="13"/>
        <v>7.4542897327707447</v>
      </c>
      <c r="F209" s="689">
        <f t="shared" si="14"/>
        <v>7.4542897327707447</v>
      </c>
      <c r="G209" s="689">
        <f t="shared" si="12"/>
        <v>53</v>
      </c>
      <c r="H209" s="606"/>
      <c r="I209" s="606"/>
      <c r="J209" s="606"/>
      <c r="K209" s="590" t="s">
        <v>224</v>
      </c>
      <c r="L209" s="606"/>
      <c r="M209" s="606"/>
      <c r="N209" s="606"/>
      <c r="O209" s="606"/>
      <c r="P209" s="698"/>
      <c r="Q209" s="698"/>
      <c r="R209" s="698"/>
      <c r="S209" s="698"/>
      <c r="T209" s="697"/>
    </row>
    <row r="210" spans="1:20" ht="25.2">
      <c r="A210" s="606" t="s">
        <v>44</v>
      </c>
      <c r="B210" s="782" t="s">
        <v>333</v>
      </c>
      <c r="C210" s="709" t="s">
        <v>334</v>
      </c>
      <c r="D210" s="710">
        <f>SUM('[2]总投资-发采购-0411-GLP拆分场外费用(司调)'!G205,'[2]总投资-发采购-0411-GLP拆分场外费用(司调)'!G208,'[2]总投资-发采购-0411-GLP拆分场外费用(司调)'!G211,'[2]总投资-发采购-0411-GLP拆分场外费用(司调)'!G214,'[2]总投资-发采购-0411-GLP拆分场外费用(司调)'!G218)</f>
        <v>3292.1051520000001</v>
      </c>
      <c r="E210" s="711">
        <f t="shared" si="13"/>
        <v>463.02463459915612</v>
      </c>
      <c r="F210" s="712">
        <f t="shared" si="14"/>
        <v>463.02463459915612</v>
      </c>
      <c r="G210" s="712">
        <f t="shared" si="12"/>
        <v>3292.1051520000001</v>
      </c>
      <c r="H210" s="780" t="s">
        <v>335</v>
      </c>
      <c r="I210" s="606" t="s">
        <v>30</v>
      </c>
      <c r="J210" s="606">
        <v>12</v>
      </c>
      <c r="K210" s="590" t="s">
        <v>224</v>
      </c>
      <c r="L210" s="606"/>
      <c r="M210" s="780"/>
      <c r="N210" s="606"/>
      <c r="O210" s="606"/>
      <c r="P210" s="698" t="s">
        <v>337</v>
      </c>
      <c r="Q210" s="698" t="s">
        <v>338</v>
      </c>
      <c r="R210" s="698" t="s">
        <v>136</v>
      </c>
      <c r="S210" s="698" t="s">
        <v>339</v>
      </c>
      <c r="T210" s="697"/>
    </row>
    <row r="211" spans="1:20">
      <c r="A211" s="1075" t="s">
        <v>340</v>
      </c>
      <c r="B211" s="1076"/>
      <c r="C211" s="1077"/>
      <c r="D211" s="713">
        <f>SUM(D7,D30,D44,D74,D117,D157,D210)</f>
        <v>174384.82564401845</v>
      </c>
      <c r="E211" s="713">
        <f>SUM(E7)</f>
        <v>967.19455955304363</v>
      </c>
      <c r="F211" s="714">
        <f t="shared" si="14"/>
        <v>967.19455955304363</v>
      </c>
      <c r="G211" s="714">
        <f t="shared" si="12"/>
        <v>174384.82564401845</v>
      </c>
      <c r="H211" s="606"/>
      <c r="I211" s="606"/>
      <c r="J211" s="606"/>
      <c r="K211" s="606"/>
      <c r="L211" s="606"/>
      <c r="M211" s="606"/>
      <c r="N211" s="606"/>
      <c r="O211" s="606"/>
      <c r="P211" s="738"/>
      <c r="Q211" s="738"/>
      <c r="R211" s="738"/>
      <c r="S211" s="738"/>
      <c r="T211" s="606"/>
    </row>
    <row r="212" spans="1:20">
      <c r="A212" s="783" t="s">
        <v>341</v>
      </c>
      <c r="B212" s="1078" t="s">
        <v>342</v>
      </c>
      <c r="C212" s="1079"/>
      <c r="D212" s="1079"/>
      <c r="E212" s="1079"/>
      <c r="F212" s="1079"/>
      <c r="G212" s="1079"/>
      <c r="H212" s="1079"/>
      <c r="I212" s="1079"/>
      <c r="J212" s="1079"/>
      <c r="K212" s="1079"/>
      <c r="L212" s="1079"/>
      <c r="M212" s="1079"/>
      <c r="N212" s="1079"/>
      <c r="O212" s="1079"/>
      <c r="P212" s="1079"/>
      <c r="Q212" s="1079"/>
      <c r="R212" s="1079"/>
      <c r="S212" s="1079"/>
      <c r="T212" s="1080"/>
    </row>
    <row r="213" spans="1:20" ht="39.6">
      <c r="A213" s="715" t="s">
        <v>50</v>
      </c>
      <c r="B213" s="784" t="s">
        <v>342</v>
      </c>
      <c r="C213" s="716" t="s">
        <v>728</v>
      </c>
      <c r="D213" s="684">
        <f>SUM('[2]总投资-发采购-0411-GLP拆分场外费用(司调)'!G236,'[2]总投资-发采购-0411-GLP拆分场外费用(司调)'!G223)</f>
        <v>28051.084587734578</v>
      </c>
      <c r="E213" s="712">
        <f>D213/$A$3</f>
        <v>3945.3002233100669</v>
      </c>
      <c r="F213" s="712">
        <f t="shared" ref="F213:F241" si="15">E213</f>
        <v>3945.3002233100669</v>
      </c>
      <c r="G213" s="685">
        <f t="shared" ref="G213:G241" si="16">D213</f>
        <v>28051.084587734578</v>
      </c>
      <c r="H213" s="715" t="s">
        <v>729</v>
      </c>
      <c r="I213" s="715" t="s">
        <v>30</v>
      </c>
      <c r="J213" s="715">
        <v>18</v>
      </c>
      <c r="K213" s="591" t="s">
        <v>180</v>
      </c>
      <c r="L213" s="715" t="s">
        <v>730</v>
      </c>
      <c r="M213" s="715"/>
      <c r="N213" s="715"/>
      <c r="O213" s="715"/>
      <c r="P213" s="715">
        <v>2025.3</v>
      </c>
      <c r="Q213" s="715">
        <v>2025.4</v>
      </c>
      <c r="R213" s="698" t="s">
        <v>136</v>
      </c>
      <c r="S213" s="698" t="s">
        <v>137</v>
      </c>
      <c r="T213" s="709"/>
    </row>
    <row r="214" spans="1:20" hidden="1">
      <c r="A214" s="717">
        <v>3.2</v>
      </c>
      <c r="B214" s="717" t="s">
        <v>731</v>
      </c>
      <c r="C214" s="718"/>
      <c r="D214" s="719">
        <f>'[2]总投资-发采购-0411-GLP拆分场外费用(司调)'!G236</f>
        <v>8098.2373475978802</v>
      </c>
      <c r="E214" s="720">
        <f>D214/$A$3</f>
        <v>1138.992594598858</v>
      </c>
      <c r="F214" s="720">
        <f t="shared" si="15"/>
        <v>1138.992594598858</v>
      </c>
      <c r="G214" s="720">
        <f t="shared" si="16"/>
        <v>8098.2373475978802</v>
      </c>
      <c r="H214" s="606"/>
      <c r="I214" s="606"/>
      <c r="J214" s="606"/>
      <c r="K214" s="697"/>
      <c r="L214" s="606"/>
      <c r="M214" s="606"/>
      <c r="N214" s="606"/>
      <c r="O214" s="606"/>
      <c r="P214" s="715"/>
      <c r="Q214" s="715"/>
      <c r="R214" s="698"/>
      <c r="S214" s="698"/>
      <c r="T214" s="709"/>
    </row>
    <row r="215" spans="1:20" hidden="1">
      <c r="A215" s="721" t="s">
        <v>345</v>
      </c>
      <c r="B215" s="721" t="s">
        <v>677</v>
      </c>
      <c r="C215" s="722"/>
      <c r="D215" s="688">
        <f>'[2]总投资-发采购-0411-GLP拆分场外费用(司调)'!G237</f>
        <v>4284.5</v>
      </c>
      <c r="E215" s="689">
        <f t="shared" ref="E215:E241" si="17">D215/$A$3</f>
        <v>602.6019690576652</v>
      </c>
      <c r="F215" s="689">
        <f t="shared" si="15"/>
        <v>602.6019690576652</v>
      </c>
      <c r="G215" s="689">
        <f t="shared" si="16"/>
        <v>4284.5</v>
      </c>
      <c r="H215" s="606"/>
      <c r="I215" s="606"/>
      <c r="J215" s="606"/>
      <c r="K215" s="697"/>
      <c r="L215" s="606"/>
      <c r="M215" s="606"/>
      <c r="N215" s="606"/>
      <c r="O215" s="606"/>
      <c r="P215" s="715"/>
      <c r="Q215" s="715"/>
      <c r="R215" s="698"/>
      <c r="S215" s="698"/>
      <c r="T215" s="709"/>
    </row>
    <row r="216" spans="1:20" hidden="1">
      <c r="A216" s="721" t="s">
        <v>346</v>
      </c>
      <c r="B216" s="721" t="s">
        <v>678</v>
      </c>
      <c r="C216" s="722"/>
      <c r="D216" s="688">
        <f>'[2]总投资-发采购-0411-GLP拆分场外费用(司调)'!G238</f>
        <v>26.125</v>
      </c>
      <c r="E216" s="689">
        <f t="shared" si="17"/>
        <v>3.6744022503516174</v>
      </c>
      <c r="F216" s="689">
        <f t="shared" si="15"/>
        <v>3.6744022503516174</v>
      </c>
      <c r="G216" s="689">
        <f t="shared" si="16"/>
        <v>26.125</v>
      </c>
      <c r="H216" s="606"/>
      <c r="I216" s="606"/>
      <c r="J216" s="606"/>
      <c r="K216" s="697"/>
      <c r="L216" s="606"/>
      <c r="M216" s="606"/>
      <c r="N216" s="606"/>
      <c r="O216" s="606"/>
      <c r="P216" s="715"/>
      <c r="Q216" s="715"/>
      <c r="R216" s="698"/>
      <c r="S216" s="698"/>
      <c r="T216" s="709"/>
    </row>
    <row r="217" spans="1:20" hidden="1">
      <c r="A217" s="721" t="s">
        <v>347</v>
      </c>
      <c r="B217" s="721" t="s">
        <v>679</v>
      </c>
      <c r="C217" s="722"/>
      <c r="D217" s="688">
        <f>'[2]总投资-发采购-0411-GLP拆分场外费用(司调)'!G239</f>
        <v>151.52500000000001</v>
      </c>
      <c r="E217" s="689">
        <f t="shared" si="17"/>
        <v>21.31153305203938</v>
      </c>
      <c r="F217" s="689">
        <f t="shared" si="15"/>
        <v>21.31153305203938</v>
      </c>
      <c r="G217" s="689">
        <f t="shared" si="16"/>
        <v>151.52500000000001</v>
      </c>
      <c r="H217" s="606"/>
      <c r="I217" s="606"/>
      <c r="J217" s="606"/>
      <c r="K217" s="697"/>
      <c r="L217" s="606"/>
      <c r="M217" s="606"/>
      <c r="N217" s="606"/>
      <c r="O217" s="606"/>
      <c r="P217" s="715"/>
      <c r="Q217" s="715"/>
      <c r="R217" s="698"/>
      <c r="S217" s="698"/>
      <c r="T217" s="709"/>
    </row>
    <row r="218" spans="1:20" hidden="1">
      <c r="A218" s="721" t="s">
        <v>348</v>
      </c>
      <c r="B218" s="721" t="s">
        <v>680</v>
      </c>
      <c r="C218" s="722"/>
      <c r="D218" s="688">
        <f>'[2]总投资-发采购-0411-GLP拆分场外费用(司调)'!G240</f>
        <v>120.175</v>
      </c>
      <c r="E218" s="689">
        <f t="shared" si="17"/>
        <v>16.90225035161744</v>
      </c>
      <c r="F218" s="689">
        <f t="shared" si="15"/>
        <v>16.90225035161744</v>
      </c>
      <c r="G218" s="689">
        <f t="shared" si="16"/>
        <v>120.175</v>
      </c>
      <c r="H218" s="606"/>
      <c r="I218" s="606"/>
      <c r="J218" s="606"/>
      <c r="K218" s="697"/>
      <c r="L218" s="606"/>
      <c r="M218" s="606"/>
      <c r="N218" s="606"/>
      <c r="O218" s="606"/>
      <c r="P218" s="715"/>
      <c r="Q218" s="715"/>
      <c r="R218" s="698"/>
      <c r="S218" s="698"/>
      <c r="T218" s="709"/>
    </row>
    <row r="219" spans="1:20" hidden="1">
      <c r="A219" s="721" t="s">
        <v>349</v>
      </c>
      <c r="B219" s="721" t="s">
        <v>681</v>
      </c>
      <c r="C219" s="722"/>
      <c r="D219" s="688">
        <f>'[2]总投资-发采购-0411-GLP拆分场外费用(司调)'!G241</f>
        <v>146.30000000000001</v>
      </c>
      <c r="E219" s="689">
        <f t="shared" si="17"/>
        <v>20.576652601969059</v>
      </c>
      <c r="F219" s="689">
        <f t="shared" si="15"/>
        <v>20.576652601969059</v>
      </c>
      <c r="G219" s="689">
        <f t="shared" si="16"/>
        <v>146.30000000000001</v>
      </c>
      <c r="H219" s="606"/>
      <c r="I219" s="606"/>
      <c r="J219" s="606"/>
      <c r="K219" s="697"/>
      <c r="L219" s="606"/>
      <c r="M219" s="606"/>
      <c r="N219" s="606"/>
      <c r="O219" s="606"/>
      <c r="P219" s="715"/>
      <c r="Q219" s="715"/>
      <c r="R219" s="698"/>
      <c r="S219" s="698"/>
      <c r="T219" s="709"/>
    </row>
    <row r="220" spans="1:20" hidden="1">
      <c r="A220" s="721" t="s">
        <v>350</v>
      </c>
      <c r="B220" s="721" t="s">
        <v>682</v>
      </c>
      <c r="C220" s="722"/>
      <c r="D220" s="688">
        <f>'[2]总投资-发采购-0411-GLP拆分场外费用(司调)'!G242</f>
        <v>41.8</v>
      </c>
      <c r="E220" s="689">
        <f t="shared" si="17"/>
        <v>5.8790436005625875</v>
      </c>
      <c r="F220" s="689">
        <f t="shared" si="15"/>
        <v>5.8790436005625875</v>
      </c>
      <c r="G220" s="689">
        <f t="shared" si="16"/>
        <v>41.8</v>
      </c>
      <c r="H220" s="606"/>
      <c r="I220" s="606"/>
      <c r="J220" s="606"/>
      <c r="K220" s="697"/>
      <c r="L220" s="606"/>
      <c r="M220" s="606"/>
      <c r="N220" s="606"/>
      <c r="O220" s="606"/>
      <c r="P220" s="715"/>
      <c r="Q220" s="715"/>
      <c r="R220" s="698"/>
      <c r="S220" s="698"/>
      <c r="T220" s="709"/>
    </row>
    <row r="221" spans="1:20" hidden="1">
      <c r="A221" s="721" t="s">
        <v>351</v>
      </c>
      <c r="B221" s="721" t="s">
        <v>683</v>
      </c>
      <c r="C221" s="722"/>
      <c r="D221" s="688">
        <f>'[2]总投资-发采购-0411-GLP拆分场外费用(司调)'!G243</f>
        <v>209</v>
      </c>
      <c r="E221" s="689">
        <f t="shared" si="17"/>
        <v>29.395218002812939</v>
      </c>
      <c r="F221" s="689">
        <f t="shared" si="15"/>
        <v>29.395218002812939</v>
      </c>
      <c r="G221" s="689">
        <f t="shared" si="16"/>
        <v>209</v>
      </c>
      <c r="H221" s="606"/>
      <c r="I221" s="606"/>
      <c r="J221" s="606"/>
      <c r="K221" s="697"/>
      <c r="L221" s="606"/>
      <c r="M221" s="606"/>
      <c r="N221" s="606"/>
      <c r="O221" s="606"/>
      <c r="P221" s="715"/>
      <c r="Q221" s="715"/>
      <c r="R221" s="698"/>
      <c r="S221" s="698"/>
      <c r="T221" s="709"/>
    </row>
    <row r="222" spans="1:20" hidden="1">
      <c r="A222" s="721"/>
      <c r="B222" s="785" t="s">
        <v>205</v>
      </c>
      <c r="C222" s="722"/>
      <c r="D222" s="688">
        <f>'[2]总投资-发采购-0411-GLP拆分场外费用(司调)'!G244</f>
        <v>2754.81234759788</v>
      </c>
      <c r="E222" s="689">
        <f t="shared" si="17"/>
        <v>387.45602638507455</v>
      </c>
      <c r="F222" s="689">
        <f t="shared" si="15"/>
        <v>387.45602638507455</v>
      </c>
      <c r="G222" s="689">
        <f t="shared" si="16"/>
        <v>2754.81234759788</v>
      </c>
      <c r="H222" s="606"/>
      <c r="I222" s="606"/>
      <c r="J222" s="606"/>
      <c r="K222" s="697"/>
      <c r="L222" s="606"/>
      <c r="M222" s="606"/>
      <c r="N222" s="606"/>
      <c r="O222" s="606"/>
      <c r="P222" s="715"/>
      <c r="Q222" s="715"/>
      <c r="R222" s="698"/>
      <c r="S222" s="698"/>
      <c r="T222" s="709"/>
    </row>
    <row r="223" spans="1:20" hidden="1">
      <c r="A223" s="721" t="s">
        <v>352</v>
      </c>
      <c r="B223" s="721" t="s">
        <v>685</v>
      </c>
      <c r="C223" s="722"/>
      <c r="D223" s="688">
        <f>'[2]总投资-发采购-0411-GLP拆分场外费用(司调)'!G245</f>
        <v>364</v>
      </c>
      <c r="E223" s="689">
        <f t="shared" si="17"/>
        <v>51.195499296765121</v>
      </c>
      <c r="F223" s="689">
        <f t="shared" si="15"/>
        <v>51.195499296765121</v>
      </c>
      <c r="G223" s="689">
        <f t="shared" si="16"/>
        <v>364</v>
      </c>
      <c r="H223" s="606"/>
      <c r="I223" s="606"/>
      <c r="J223" s="606"/>
      <c r="K223" s="697"/>
      <c r="L223" s="606"/>
      <c r="M223" s="606"/>
      <c r="N223" s="606"/>
      <c r="O223" s="606"/>
      <c r="P223" s="715"/>
      <c r="Q223" s="715"/>
      <c r="R223" s="698"/>
      <c r="S223" s="698"/>
      <c r="T223" s="709"/>
    </row>
    <row r="224" spans="1:20" hidden="1">
      <c r="A224" s="721"/>
      <c r="B224" s="721" t="s">
        <v>732</v>
      </c>
      <c r="C224" s="722"/>
      <c r="D224" s="688">
        <f>'[2]总投资-发采购-0411-GLP拆分场外费用(司调)'!G246</f>
        <v>289</v>
      </c>
      <c r="E224" s="689">
        <f t="shared" si="17"/>
        <v>40.646976090014064</v>
      </c>
      <c r="F224" s="689">
        <f t="shared" si="15"/>
        <v>40.646976090014064</v>
      </c>
      <c r="G224" s="689">
        <f t="shared" si="16"/>
        <v>289</v>
      </c>
      <c r="H224" s="606"/>
      <c r="I224" s="606"/>
      <c r="J224" s="606"/>
      <c r="K224" s="697"/>
      <c r="L224" s="606"/>
      <c r="M224" s="606"/>
      <c r="N224" s="606"/>
      <c r="O224" s="606"/>
      <c r="P224" s="715"/>
      <c r="Q224" s="715"/>
      <c r="R224" s="698"/>
      <c r="S224" s="698"/>
      <c r="T224" s="709"/>
    </row>
    <row r="225" spans="1:20" hidden="1">
      <c r="A225" s="721"/>
      <c r="B225" s="721" t="s">
        <v>686</v>
      </c>
      <c r="C225" s="722"/>
      <c r="D225" s="688">
        <f>'[2]总投资-发采购-0411-GLP拆分场外费用(司调)'!G247</f>
        <v>4</v>
      </c>
      <c r="E225" s="689">
        <f t="shared" si="17"/>
        <v>0.56258790436005623</v>
      </c>
      <c r="F225" s="689">
        <f t="shared" si="15"/>
        <v>0.56258790436005623</v>
      </c>
      <c r="G225" s="689">
        <f t="shared" si="16"/>
        <v>4</v>
      </c>
      <c r="H225" s="606"/>
      <c r="I225" s="606"/>
      <c r="J225" s="606"/>
      <c r="K225" s="697"/>
      <c r="L225" s="606"/>
      <c r="M225" s="606"/>
      <c r="N225" s="606"/>
      <c r="O225" s="606"/>
      <c r="P225" s="715"/>
      <c r="Q225" s="715"/>
      <c r="R225" s="698"/>
      <c r="S225" s="698"/>
      <c r="T225" s="709"/>
    </row>
    <row r="226" spans="1:20" hidden="1">
      <c r="A226" s="721"/>
      <c r="B226" s="721" t="s">
        <v>687</v>
      </c>
      <c r="C226" s="722"/>
      <c r="D226" s="688">
        <f>'[2]总投资-发采购-0411-GLP拆分场外费用(司调)'!G248</f>
        <v>4</v>
      </c>
      <c r="E226" s="689">
        <f t="shared" si="17"/>
        <v>0.56258790436005623</v>
      </c>
      <c r="F226" s="689">
        <f t="shared" si="15"/>
        <v>0.56258790436005623</v>
      </c>
      <c r="G226" s="689">
        <f t="shared" si="16"/>
        <v>4</v>
      </c>
      <c r="H226" s="606"/>
      <c r="I226" s="606"/>
      <c r="J226" s="606"/>
      <c r="K226" s="697"/>
      <c r="L226" s="606"/>
      <c r="M226" s="606"/>
      <c r="N226" s="606"/>
      <c r="O226" s="606"/>
      <c r="P226" s="715"/>
      <c r="Q226" s="715"/>
      <c r="R226" s="698"/>
      <c r="S226" s="698"/>
      <c r="T226" s="709"/>
    </row>
    <row r="227" spans="1:20" hidden="1">
      <c r="A227" s="721"/>
      <c r="B227" s="721" t="s">
        <v>688</v>
      </c>
      <c r="C227" s="722"/>
      <c r="D227" s="688">
        <f>'[2]总投资-发采购-0411-GLP拆分场外费用(司调)'!G249</f>
        <v>32</v>
      </c>
      <c r="E227" s="689">
        <f t="shared" si="17"/>
        <v>4.5007032348804499</v>
      </c>
      <c r="F227" s="689">
        <f t="shared" si="15"/>
        <v>4.5007032348804499</v>
      </c>
      <c r="G227" s="689">
        <f t="shared" si="16"/>
        <v>32</v>
      </c>
      <c r="H227" s="606"/>
      <c r="I227" s="606"/>
      <c r="J227" s="606"/>
      <c r="K227" s="697"/>
      <c r="L227" s="606"/>
      <c r="M227" s="606"/>
      <c r="N227" s="606"/>
      <c r="O227" s="606"/>
      <c r="P227" s="715"/>
      <c r="Q227" s="715"/>
      <c r="R227" s="698"/>
      <c r="S227" s="698"/>
      <c r="T227" s="709"/>
    </row>
    <row r="228" spans="1:20" hidden="1">
      <c r="A228" s="721"/>
      <c r="B228" s="721" t="s">
        <v>733</v>
      </c>
      <c r="C228" s="722"/>
      <c r="D228" s="688">
        <f>'[2]总投资-发采购-0411-GLP拆分场外费用(司调)'!G250</f>
        <v>35</v>
      </c>
      <c r="E228" s="689">
        <f t="shared" si="17"/>
        <v>4.9226441631504922</v>
      </c>
      <c r="F228" s="689">
        <f t="shared" si="15"/>
        <v>4.9226441631504922</v>
      </c>
      <c r="G228" s="689">
        <f t="shared" si="16"/>
        <v>35</v>
      </c>
      <c r="H228" s="606"/>
      <c r="I228" s="606"/>
      <c r="J228" s="606"/>
      <c r="K228" s="697"/>
      <c r="L228" s="606"/>
      <c r="M228" s="606"/>
      <c r="N228" s="606"/>
      <c r="O228" s="606"/>
      <c r="P228" s="715"/>
      <c r="Q228" s="715"/>
      <c r="R228" s="698"/>
      <c r="S228" s="698"/>
      <c r="T228" s="709"/>
    </row>
    <row r="229" spans="1:20" hidden="1">
      <c r="A229" s="717">
        <v>3.1</v>
      </c>
      <c r="B229" s="717" t="s">
        <v>734</v>
      </c>
      <c r="C229" s="718"/>
      <c r="D229" s="719">
        <f>'[2]总投资-发采购-0411-GLP拆分场外费用(司调)'!G223</f>
        <v>19952.8472401367</v>
      </c>
      <c r="E229" s="720">
        <f t="shared" si="17"/>
        <v>2806.3076287112094</v>
      </c>
      <c r="F229" s="720">
        <f t="shared" si="15"/>
        <v>2806.3076287112094</v>
      </c>
      <c r="G229" s="720">
        <f t="shared" si="16"/>
        <v>19952.8472401367</v>
      </c>
      <c r="H229" s="606"/>
      <c r="I229" s="606"/>
      <c r="J229" s="606"/>
      <c r="K229" s="697"/>
      <c r="L229" s="606"/>
      <c r="M229" s="606"/>
      <c r="N229" s="606"/>
      <c r="O229" s="606"/>
      <c r="P229" s="715"/>
      <c r="Q229" s="715"/>
      <c r="R229" s="698"/>
      <c r="S229" s="698"/>
      <c r="T229" s="709"/>
    </row>
    <row r="230" spans="1:20" hidden="1">
      <c r="A230" s="721" t="s">
        <v>356</v>
      </c>
      <c r="B230" s="721" t="s">
        <v>677</v>
      </c>
      <c r="C230" s="722"/>
      <c r="D230" s="688">
        <f>'[2]总投资-发采购-0411-GLP拆分场外费用(司调)'!G224</f>
        <v>14787.06</v>
      </c>
      <c r="E230" s="689">
        <f t="shared" si="17"/>
        <v>2079.7552742616031</v>
      </c>
      <c r="F230" s="689">
        <f t="shared" si="15"/>
        <v>2079.7552742616031</v>
      </c>
      <c r="G230" s="689">
        <f t="shared" si="16"/>
        <v>14787.06</v>
      </c>
      <c r="H230" s="606"/>
      <c r="I230" s="606"/>
      <c r="J230" s="606"/>
      <c r="K230" s="697"/>
      <c r="L230" s="606"/>
      <c r="M230" s="606"/>
      <c r="N230" s="606"/>
      <c r="O230" s="606"/>
      <c r="P230" s="715"/>
      <c r="Q230" s="715"/>
      <c r="R230" s="698"/>
      <c r="S230" s="698"/>
      <c r="T230" s="709"/>
    </row>
    <row r="231" spans="1:20" hidden="1">
      <c r="A231" s="721" t="s">
        <v>357</v>
      </c>
      <c r="B231" s="721" t="s">
        <v>678</v>
      </c>
      <c r="C231" s="722"/>
      <c r="D231" s="688">
        <f>'[2]总投资-发采购-0411-GLP拆分场外费用(司调)'!G225</f>
        <v>98.580399999999997</v>
      </c>
      <c r="E231" s="689">
        <f t="shared" si="17"/>
        <v>13.865035161744022</v>
      </c>
      <c r="F231" s="689">
        <f t="shared" si="15"/>
        <v>13.865035161744022</v>
      </c>
      <c r="G231" s="689">
        <f t="shared" si="16"/>
        <v>98.580399999999997</v>
      </c>
      <c r="H231" s="606"/>
      <c r="I231" s="606"/>
      <c r="J231" s="606"/>
      <c r="K231" s="697"/>
      <c r="L231" s="606"/>
      <c r="M231" s="606"/>
      <c r="N231" s="606"/>
      <c r="O231" s="606"/>
      <c r="P231" s="715"/>
      <c r="Q231" s="715"/>
      <c r="R231" s="698"/>
      <c r="S231" s="698"/>
      <c r="T231" s="709"/>
    </row>
    <row r="232" spans="1:20" hidden="1">
      <c r="A232" s="721" t="s">
        <v>358</v>
      </c>
      <c r="B232" s="721" t="s">
        <v>679</v>
      </c>
      <c r="C232" s="722"/>
      <c r="D232" s="688">
        <f>'[2]总投资-发采购-0411-GLP拆分场外费用(司调)'!G226</f>
        <v>571.76631999999995</v>
      </c>
      <c r="E232" s="689">
        <f t="shared" si="17"/>
        <v>80.417203938115321</v>
      </c>
      <c r="F232" s="689">
        <f t="shared" si="15"/>
        <v>80.417203938115321</v>
      </c>
      <c r="G232" s="689">
        <f t="shared" si="16"/>
        <v>571.76631999999995</v>
      </c>
      <c r="H232" s="606"/>
      <c r="I232" s="606"/>
      <c r="J232" s="606"/>
      <c r="K232" s="697"/>
      <c r="L232" s="606"/>
      <c r="M232" s="606"/>
      <c r="N232" s="606"/>
      <c r="O232" s="606"/>
      <c r="P232" s="715"/>
      <c r="Q232" s="715"/>
      <c r="R232" s="698"/>
      <c r="S232" s="698"/>
      <c r="T232" s="709"/>
    </row>
    <row r="233" spans="1:20" hidden="1">
      <c r="A233" s="721" t="s">
        <v>359</v>
      </c>
      <c r="B233" s="721" t="s">
        <v>680</v>
      </c>
      <c r="C233" s="722"/>
      <c r="D233" s="688">
        <f>'[2]总投资-发采购-0411-GLP拆分场外费用(司调)'!G227</f>
        <v>453.46983999999998</v>
      </c>
      <c r="E233" s="689">
        <f t="shared" si="17"/>
        <v>63.779161744022495</v>
      </c>
      <c r="F233" s="689">
        <f t="shared" si="15"/>
        <v>63.779161744022495</v>
      </c>
      <c r="G233" s="689">
        <f t="shared" si="16"/>
        <v>453.46983999999998</v>
      </c>
      <c r="H233" s="606"/>
      <c r="I233" s="606"/>
      <c r="J233" s="606"/>
      <c r="K233" s="697"/>
      <c r="L233" s="606"/>
      <c r="M233" s="606"/>
      <c r="N233" s="606"/>
      <c r="O233" s="606"/>
      <c r="P233" s="715"/>
      <c r="Q233" s="715"/>
      <c r="R233" s="698"/>
      <c r="S233" s="698"/>
      <c r="T233" s="709"/>
    </row>
    <row r="234" spans="1:20" hidden="1">
      <c r="A234" s="721" t="s">
        <v>360</v>
      </c>
      <c r="B234" s="721" t="s">
        <v>681</v>
      </c>
      <c r="C234" s="722"/>
      <c r="D234" s="688">
        <f>'[2]总投资-发采购-0411-GLP拆分场外费用(司调)'!G228</f>
        <v>552.05024000000003</v>
      </c>
      <c r="E234" s="689">
        <f t="shared" si="17"/>
        <v>77.64419690576652</v>
      </c>
      <c r="F234" s="689">
        <f t="shared" si="15"/>
        <v>77.64419690576652</v>
      </c>
      <c r="G234" s="689">
        <f t="shared" si="16"/>
        <v>552.05024000000003</v>
      </c>
      <c r="H234" s="715"/>
      <c r="I234" s="715"/>
      <c r="J234" s="715"/>
      <c r="K234" s="697"/>
      <c r="L234" s="715"/>
      <c r="M234" s="715"/>
      <c r="N234" s="715"/>
      <c r="O234" s="715"/>
      <c r="P234" s="715"/>
      <c r="Q234" s="715"/>
      <c r="R234" s="698"/>
      <c r="S234" s="742"/>
      <c r="T234" s="709"/>
    </row>
    <row r="235" spans="1:20" hidden="1">
      <c r="A235" s="721" t="s">
        <v>361</v>
      </c>
      <c r="B235" s="721" t="s">
        <v>682</v>
      </c>
      <c r="C235" s="722"/>
      <c r="D235" s="688">
        <f>'[2]总投资-发采购-0411-GLP拆分场外费用(司调)'!G229</f>
        <v>157.72864000000001</v>
      </c>
      <c r="E235" s="689">
        <f t="shared" si="17"/>
        <v>22.184056258790438</v>
      </c>
      <c r="F235" s="689">
        <f t="shared" si="15"/>
        <v>22.184056258790438</v>
      </c>
      <c r="G235" s="689">
        <f t="shared" si="16"/>
        <v>157.72864000000001</v>
      </c>
      <c r="H235" s="606"/>
      <c r="I235" s="606"/>
      <c r="J235" s="606"/>
      <c r="K235" s="697"/>
      <c r="L235" s="606"/>
      <c r="M235" s="606"/>
      <c r="N235" s="606"/>
      <c r="O235" s="606"/>
      <c r="P235" s="715"/>
      <c r="Q235" s="715"/>
      <c r="R235" s="698"/>
      <c r="S235" s="698"/>
      <c r="T235" s="709"/>
    </row>
    <row r="236" spans="1:20" hidden="1">
      <c r="A236" s="721" t="s">
        <v>362</v>
      </c>
      <c r="B236" s="721" t="s">
        <v>683</v>
      </c>
      <c r="C236" s="722"/>
      <c r="D236" s="688">
        <f>'[2]总投资-发采购-0411-GLP拆分场外费用(司调)'!G230</f>
        <v>788.64319999999998</v>
      </c>
      <c r="E236" s="689">
        <f t="shared" si="17"/>
        <v>110.92028129395217</v>
      </c>
      <c r="F236" s="689">
        <f t="shared" si="15"/>
        <v>110.92028129395217</v>
      </c>
      <c r="G236" s="689">
        <f t="shared" si="16"/>
        <v>788.64319999999998</v>
      </c>
      <c r="H236" s="606"/>
      <c r="I236" s="606"/>
      <c r="J236" s="606"/>
      <c r="K236" s="697"/>
      <c r="L236" s="606"/>
      <c r="M236" s="606"/>
      <c r="N236" s="606"/>
      <c r="O236" s="606"/>
      <c r="P236" s="715"/>
      <c r="Q236" s="715"/>
      <c r="R236" s="698"/>
      <c r="S236" s="698"/>
      <c r="T236" s="709"/>
    </row>
    <row r="237" spans="1:20" hidden="1">
      <c r="A237" s="721"/>
      <c r="B237" s="785" t="s">
        <v>205</v>
      </c>
      <c r="C237" s="722"/>
      <c r="D237" s="688">
        <f>'[2]总投资-发采购-0411-GLP拆分场外费用(司调)'!G231</f>
        <v>2458.5486001366498</v>
      </c>
      <c r="E237" s="689">
        <f t="shared" si="17"/>
        <v>345.78742617955692</v>
      </c>
      <c r="F237" s="689">
        <f t="shared" si="15"/>
        <v>345.78742617955692</v>
      </c>
      <c r="G237" s="689">
        <f t="shared" si="16"/>
        <v>2458.5486001366498</v>
      </c>
      <c r="H237" s="606"/>
      <c r="I237" s="606"/>
      <c r="J237" s="606"/>
      <c r="K237" s="697"/>
      <c r="L237" s="606"/>
      <c r="M237" s="606"/>
      <c r="N237" s="606"/>
      <c r="O237" s="606"/>
      <c r="P237" s="715"/>
      <c r="Q237" s="715"/>
      <c r="R237" s="698"/>
      <c r="S237" s="698"/>
      <c r="T237" s="709"/>
    </row>
    <row r="238" spans="1:20" hidden="1">
      <c r="A238" s="721" t="s">
        <v>363</v>
      </c>
      <c r="B238" s="721" t="s">
        <v>685</v>
      </c>
      <c r="C238" s="722"/>
      <c r="D238" s="688">
        <f>'[2]总投资-发采购-0411-GLP拆分场外费用(司调)'!G232</f>
        <v>85</v>
      </c>
      <c r="E238" s="689">
        <f t="shared" si="17"/>
        <v>11.954992967651195</v>
      </c>
      <c r="F238" s="689">
        <f t="shared" si="15"/>
        <v>11.954992967651195</v>
      </c>
      <c r="G238" s="689">
        <f t="shared" si="16"/>
        <v>85</v>
      </c>
      <c r="H238" s="606"/>
      <c r="I238" s="606"/>
      <c r="J238" s="606"/>
      <c r="K238" s="697"/>
      <c r="L238" s="606"/>
      <c r="M238" s="606"/>
      <c r="N238" s="606"/>
      <c r="O238" s="606"/>
      <c r="P238" s="715"/>
      <c r="Q238" s="715"/>
      <c r="R238" s="698"/>
      <c r="S238" s="698"/>
      <c r="T238" s="709"/>
    </row>
    <row r="239" spans="1:20" hidden="1">
      <c r="A239" s="721"/>
      <c r="B239" s="721" t="s">
        <v>686</v>
      </c>
      <c r="C239" s="722"/>
      <c r="D239" s="688">
        <f>'[2]总投资-发采购-0411-GLP拆分场外费用(司调)'!G233</f>
        <v>4</v>
      </c>
      <c r="E239" s="689">
        <f t="shared" si="17"/>
        <v>0.56258790436005623</v>
      </c>
      <c r="F239" s="689">
        <f t="shared" si="15"/>
        <v>0.56258790436005623</v>
      </c>
      <c r="G239" s="689">
        <f t="shared" si="16"/>
        <v>4</v>
      </c>
      <c r="H239" s="606"/>
      <c r="I239" s="606"/>
      <c r="J239" s="606"/>
      <c r="K239" s="697"/>
      <c r="L239" s="606"/>
      <c r="M239" s="606"/>
      <c r="N239" s="606"/>
      <c r="O239" s="606"/>
      <c r="P239" s="715"/>
      <c r="Q239" s="715"/>
      <c r="R239" s="698"/>
      <c r="S239" s="698"/>
      <c r="T239" s="709"/>
    </row>
    <row r="240" spans="1:20" hidden="1">
      <c r="A240" s="721"/>
      <c r="B240" s="721" t="s">
        <v>687</v>
      </c>
      <c r="C240" s="722"/>
      <c r="D240" s="688">
        <f>'[2]总投资-发采购-0411-GLP拆分场外费用(司调)'!G234</f>
        <v>15</v>
      </c>
      <c r="E240" s="689">
        <f t="shared" si="17"/>
        <v>2.109704641350211</v>
      </c>
      <c r="F240" s="689">
        <f t="shared" si="15"/>
        <v>2.109704641350211</v>
      </c>
      <c r="G240" s="689">
        <f t="shared" si="16"/>
        <v>15</v>
      </c>
      <c r="H240" s="606"/>
      <c r="I240" s="606"/>
      <c r="J240" s="606"/>
      <c r="K240" s="697"/>
      <c r="L240" s="606"/>
      <c r="M240" s="606"/>
      <c r="N240" s="606"/>
      <c r="O240" s="606"/>
      <c r="P240" s="715"/>
      <c r="Q240" s="715"/>
      <c r="R240" s="698"/>
      <c r="S240" s="698"/>
      <c r="T240" s="709"/>
    </row>
    <row r="241" spans="1:20" hidden="1">
      <c r="A241" s="721"/>
      <c r="B241" s="721" t="s">
        <v>688</v>
      </c>
      <c r="C241" s="722"/>
      <c r="D241" s="688">
        <f>'[2]总投资-发采购-0411-GLP拆分场外费用(司调)'!G235</f>
        <v>66</v>
      </c>
      <c r="E241" s="689">
        <f t="shared" si="17"/>
        <v>9.2827004219409286</v>
      </c>
      <c r="F241" s="689">
        <f t="shared" si="15"/>
        <v>9.2827004219409286</v>
      </c>
      <c r="G241" s="689">
        <f t="shared" si="16"/>
        <v>66</v>
      </c>
      <c r="H241" s="606"/>
      <c r="I241" s="606"/>
      <c r="J241" s="606"/>
      <c r="K241" s="697"/>
      <c r="L241" s="606"/>
      <c r="M241" s="606"/>
      <c r="N241" s="606"/>
      <c r="O241" s="606"/>
      <c r="P241" s="715"/>
      <c r="Q241" s="715"/>
      <c r="R241" s="698"/>
      <c r="S241" s="698"/>
      <c r="T241" s="709"/>
    </row>
    <row r="242" spans="1:20">
      <c r="A242" s="1075" t="s">
        <v>340</v>
      </c>
      <c r="B242" s="1076"/>
      <c r="C242" s="1077"/>
      <c r="D242" s="713">
        <f>SUM(D213)</f>
        <v>28051.084587734578</v>
      </c>
      <c r="E242" s="713">
        <f t="shared" ref="E242:G242" si="18">SUM(E213)</f>
        <v>3945.3002233100669</v>
      </c>
      <c r="F242" s="713">
        <f t="shared" si="18"/>
        <v>3945.3002233100669</v>
      </c>
      <c r="G242" s="713">
        <f t="shared" si="18"/>
        <v>28051.084587734578</v>
      </c>
      <c r="H242" s="606"/>
      <c r="I242" s="606"/>
      <c r="J242" s="606"/>
      <c r="K242" s="606"/>
      <c r="L242" s="606"/>
      <c r="M242" s="606"/>
      <c r="N242" s="606"/>
      <c r="O242" s="606"/>
      <c r="P242" s="606"/>
      <c r="Q242" s="606"/>
      <c r="R242" s="738"/>
      <c r="S242" s="606"/>
      <c r="T242" s="606"/>
    </row>
    <row r="243" spans="1:20">
      <c r="A243" s="786" t="s">
        <v>364</v>
      </c>
      <c r="B243" s="787" t="s">
        <v>365</v>
      </c>
      <c r="C243" s="723"/>
      <c r="D243" s="724"/>
      <c r="E243" s="725"/>
      <c r="F243" s="724"/>
      <c r="G243" s="724"/>
      <c r="H243" s="726"/>
      <c r="I243" s="726"/>
      <c r="J243" s="726"/>
      <c r="K243" s="726"/>
      <c r="L243" s="726"/>
      <c r="M243" s="726"/>
      <c r="N243" s="726"/>
      <c r="O243" s="726"/>
      <c r="P243" s="726"/>
      <c r="Q243" s="726"/>
      <c r="R243" s="743"/>
      <c r="S243" s="744"/>
      <c r="T243" s="706"/>
    </row>
    <row r="244" spans="1:20" ht="66">
      <c r="A244" s="788" t="s">
        <v>366</v>
      </c>
      <c r="B244" s="789" t="s">
        <v>735</v>
      </c>
      <c r="C244" s="790" t="s">
        <v>368</v>
      </c>
      <c r="D244" s="791">
        <f>SUM('[2]总投资-发采购-0411-GLP拆分场外费用(司调)'!G303,'[2]总投资-发采购-0411-GLP拆分场外费用(司调)'!G307,'[2]总投资-发采购-0411-GLP拆分场外费用(司调)'!G311,'[2]总投资-发采购-0411-GLP拆分场外费用(司调)'!G313,'[2]总投资-发采购-0411-GLP拆分场外费用(司调)'!G315,'[2]总投资-发采购-0411-GLP拆分场外费用(司调)'!G317)</f>
        <v>20312.849999999999</v>
      </c>
      <c r="E244" s="792">
        <f>D244/$A$3</f>
        <v>2856.9409282700417</v>
      </c>
      <c r="F244" s="792">
        <f t="shared" ref="F244:F308" si="19">E244</f>
        <v>2856.9409282700417</v>
      </c>
      <c r="G244" s="792">
        <f>D244</f>
        <v>20312.849999999999</v>
      </c>
      <c r="H244" s="749" t="s">
        <v>133</v>
      </c>
      <c r="I244" s="749" t="s">
        <v>30</v>
      </c>
      <c r="J244" s="749">
        <v>12</v>
      </c>
      <c r="K244" s="754" t="s">
        <v>224</v>
      </c>
      <c r="L244" s="749" t="s">
        <v>135</v>
      </c>
      <c r="M244" s="797" t="s">
        <v>736</v>
      </c>
      <c r="N244" s="749"/>
      <c r="O244" s="749"/>
      <c r="P244" s="755" t="s">
        <v>737</v>
      </c>
      <c r="Q244" s="755" t="s">
        <v>738</v>
      </c>
      <c r="R244" s="755" t="s">
        <v>739</v>
      </c>
      <c r="S244" s="755" t="s">
        <v>740</v>
      </c>
      <c r="T244" s="754" t="s">
        <v>741</v>
      </c>
    </row>
    <row r="245" spans="1:20" hidden="1">
      <c r="A245" s="793">
        <v>6</v>
      </c>
      <c r="B245" s="746" t="s">
        <v>370</v>
      </c>
      <c r="C245" s="794"/>
      <c r="D245" s="795">
        <f>'[2]总投资-发采购-0411-GLP拆分场外费用(司调)'!G303</f>
        <v>2688.05</v>
      </c>
      <c r="E245" s="748">
        <f>D245/$A$3</f>
        <v>378.06610407876229</v>
      </c>
      <c r="F245" s="748">
        <f>D245/$A$3</f>
        <v>378.06610407876229</v>
      </c>
      <c r="G245" s="748">
        <f>D245</f>
        <v>2688.05</v>
      </c>
      <c r="H245" s="796"/>
      <c r="I245" s="796"/>
      <c r="J245" s="796"/>
      <c r="K245" s="754" t="s">
        <v>224</v>
      </c>
      <c r="L245" s="796"/>
      <c r="M245" s="796"/>
      <c r="N245" s="796"/>
      <c r="O245" s="796"/>
      <c r="P245" s="798"/>
      <c r="Q245" s="755"/>
      <c r="R245" s="755"/>
      <c r="S245" s="755"/>
      <c r="T245" s="754"/>
    </row>
    <row r="246" spans="1:20" hidden="1">
      <c r="A246" s="745" t="s">
        <v>371</v>
      </c>
      <c r="B246" s="746" t="s">
        <v>742</v>
      </c>
      <c r="C246" s="746"/>
      <c r="D246" s="795">
        <f>'[2]总投资-发采购-0411-GLP拆分场外费用(司调)'!G304</f>
        <v>399.45</v>
      </c>
      <c r="E246" s="748">
        <f t="shared" ref="E246:E264" si="20">D246/$A$3</f>
        <v>56.181434599156113</v>
      </c>
      <c r="F246" s="748">
        <f t="shared" ref="F246:F261" si="21">D246/$A$3</f>
        <v>56.181434599156113</v>
      </c>
      <c r="G246" s="748">
        <f t="shared" ref="G246:G262" si="22">D246</f>
        <v>399.45</v>
      </c>
      <c r="H246" s="796"/>
      <c r="I246" s="796"/>
      <c r="J246" s="796"/>
      <c r="K246" s="754" t="s">
        <v>224</v>
      </c>
      <c r="L246" s="796"/>
      <c r="M246" s="796"/>
      <c r="N246" s="796"/>
      <c r="O246" s="796"/>
      <c r="P246" s="798"/>
      <c r="Q246" s="755"/>
      <c r="R246" s="755"/>
      <c r="S246" s="755"/>
      <c r="T246" s="754"/>
    </row>
    <row r="247" spans="1:20" hidden="1">
      <c r="A247" s="745" t="s">
        <v>373</v>
      </c>
      <c r="B247" s="746" t="s">
        <v>743</v>
      </c>
      <c r="C247" s="746"/>
      <c r="D247" s="795">
        <f>'[2]总投资-发采购-0411-GLP拆分场外费用(司调)'!G305</f>
        <v>2145.6</v>
      </c>
      <c r="E247" s="748">
        <f t="shared" si="20"/>
        <v>301.77215189873414</v>
      </c>
      <c r="F247" s="748">
        <f t="shared" si="21"/>
        <v>301.77215189873414</v>
      </c>
      <c r="G247" s="748">
        <f t="shared" si="22"/>
        <v>2145.6</v>
      </c>
      <c r="H247" s="796"/>
      <c r="I247" s="796"/>
      <c r="J247" s="796"/>
      <c r="K247" s="754" t="s">
        <v>224</v>
      </c>
      <c r="L247" s="796"/>
      <c r="M247" s="796"/>
      <c r="N247" s="796"/>
      <c r="O247" s="796"/>
      <c r="P247" s="798"/>
      <c r="Q247" s="755"/>
      <c r="R247" s="755"/>
      <c r="S247" s="755"/>
      <c r="T247" s="754"/>
    </row>
    <row r="248" spans="1:20" hidden="1">
      <c r="A248" s="745" t="s">
        <v>375</v>
      </c>
      <c r="B248" s="746" t="s">
        <v>744</v>
      </c>
      <c r="C248" s="746"/>
      <c r="D248" s="795">
        <f>'[2]总投资-发采购-0411-GLP拆分场外费用(司调)'!G306</f>
        <v>143</v>
      </c>
      <c r="E248" s="748">
        <f t="shared" si="20"/>
        <v>20.112517580872009</v>
      </c>
      <c r="F248" s="748">
        <f t="shared" si="21"/>
        <v>20.112517580872009</v>
      </c>
      <c r="G248" s="748">
        <f t="shared" si="22"/>
        <v>143</v>
      </c>
      <c r="H248" s="796"/>
      <c r="I248" s="796"/>
      <c r="J248" s="796"/>
      <c r="K248" s="754" t="s">
        <v>224</v>
      </c>
      <c r="L248" s="796"/>
      <c r="M248" s="796"/>
      <c r="N248" s="796"/>
      <c r="O248" s="796"/>
      <c r="P248" s="798"/>
      <c r="Q248" s="755"/>
      <c r="R248" s="755"/>
      <c r="S248" s="755"/>
      <c r="T248" s="754"/>
    </row>
    <row r="249" spans="1:20" hidden="1">
      <c r="A249" s="745" t="s">
        <v>377</v>
      </c>
      <c r="B249" s="746" t="s">
        <v>745</v>
      </c>
      <c r="C249" s="746"/>
      <c r="D249" s="795">
        <f>'[2]总投资-发采购-0411-GLP拆分场外费用(司调)'!G307</f>
        <v>6521.05</v>
      </c>
      <c r="E249" s="748">
        <f t="shared" si="20"/>
        <v>917.16596343178617</v>
      </c>
      <c r="F249" s="748">
        <f t="shared" si="21"/>
        <v>917.16596343178617</v>
      </c>
      <c r="G249" s="748">
        <f t="shared" si="22"/>
        <v>6521.05</v>
      </c>
      <c r="H249" s="796"/>
      <c r="I249" s="796"/>
      <c r="J249" s="796"/>
      <c r="K249" s="754" t="s">
        <v>224</v>
      </c>
      <c r="L249" s="796"/>
      <c r="M249" s="796"/>
      <c r="N249" s="796"/>
      <c r="O249" s="796"/>
      <c r="P249" s="798"/>
      <c r="Q249" s="755"/>
      <c r="R249" s="755"/>
      <c r="S249" s="755"/>
      <c r="T249" s="754"/>
    </row>
    <row r="250" spans="1:20" hidden="1">
      <c r="A250" s="745">
        <v>6.2</v>
      </c>
      <c r="B250" s="746" t="s">
        <v>746</v>
      </c>
      <c r="C250" s="746"/>
      <c r="D250" s="795">
        <f>'[2]总投资-发采购-0411-GLP拆分场外费用(司调)'!G307</f>
        <v>6521.05</v>
      </c>
      <c r="E250" s="748">
        <f t="shared" si="20"/>
        <v>917.16596343178617</v>
      </c>
      <c r="F250" s="748">
        <f t="shared" si="21"/>
        <v>917.16596343178617</v>
      </c>
      <c r="G250" s="748">
        <f t="shared" si="22"/>
        <v>6521.05</v>
      </c>
      <c r="H250" s="796"/>
      <c r="I250" s="796"/>
      <c r="J250" s="796"/>
      <c r="K250" s="754" t="s">
        <v>224</v>
      </c>
      <c r="L250" s="796"/>
      <c r="M250" s="796"/>
      <c r="N250" s="796"/>
      <c r="O250" s="796"/>
      <c r="P250" s="798"/>
      <c r="Q250" s="755"/>
      <c r="R250" s="755"/>
      <c r="S250" s="755"/>
      <c r="T250" s="754"/>
    </row>
    <row r="251" spans="1:20" hidden="1">
      <c r="A251" s="745" t="s">
        <v>380</v>
      </c>
      <c r="B251" s="746" t="s">
        <v>743</v>
      </c>
      <c r="C251" s="746"/>
      <c r="D251" s="795">
        <f>'[2]总投资-发采购-0411-GLP拆分场外费用(司调)'!G308</f>
        <v>356.25</v>
      </c>
      <c r="E251" s="748">
        <f t="shared" si="20"/>
        <v>50.105485232067508</v>
      </c>
      <c r="F251" s="748">
        <f t="shared" si="21"/>
        <v>50.105485232067508</v>
      </c>
      <c r="G251" s="748">
        <f t="shared" si="22"/>
        <v>356.25</v>
      </c>
      <c r="H251" s="796"/>
      <c r="I251" s="796"/>
      <c r="J251" s="796"/>
      <c r="K251" s="754" t="s">
        <v>224</v>
      </c>
      <c r="L251" s="796"/>
      <c r="M251" s="796"/>
      <c r="N251" s="796"/>
      <c r="O251" s="796"/>
      <c r="P251" s="798"/>
      <c r="Q251" s="755"/>
      <c r="R251" s="755"/>
      <c r="S251" s="755"/>
      <c r="T251" s="754"/>
    </row>
    <row r="252" spans="1:20" hidden="1">
      <c r="A252" s="745" t="s">
        <v>381</v>
      </c>
      <c r="B252" s="746" t="s">
        <v>744</v>
      </c>
      <c r="C252" s="746"/>
      <c r="D252" s="795">
        <f>'[2]总投资-发采购-0411-GLP拆分场外费用(司调)'!G309</f>
        <v>5956.8</v>
      </c>
      <c r="E252" s="748">
        <f t="shared" si="20"/>
        <v>837.80590717299572</v>
      </c>
      <c r="F252" s="748">
        <f t="shared" si="21"/>
        <v>837.80590717299572</v>
      </c>
      <c r="G252" s="748">
        <f t="shared" si="22"/>
        <v>5956.8</v>
      </c>
      <c r="H252" s="796"/>
      <c r="I252" s="796"/>
      <c r="J252" s="796"/>
      <c r="K252" s="754" t="s">
        <v>224</v>
      </c>
      <c r="L252" s="796"/>
      <c r="M252" s="796"/>
      <c r="N252" s="796"/>
      <c r="O252" s="796"/>
      <c r="P252" s="798"/>
      <c r="Q252" s="755"/>
      <c r="R252" s="755"/>
      <c r="S252" s="755"/>
      <c r="T252" s="754"/>
    </row>
    <row r="253" spans="1:20" hidden="1">
      <c r="A253" s="745" t="s">
        <v>382</v>
      </c>
      <c r="B253" s="746" t="s">
        <v>745</v>
      </c>
      <c r="C253" s="746"/>
      <c r="D253" s="795">
        <f>'[2]总投资-发采购-0411-GLP拆分场外费用(司调)'!G310</f>
        <v>208</v>
      </c>
      <c r="E253" s="748">
        <f t="shared" si="20"/>
        <v>29.254571026722925</v>
      </c>
      <c r="F253" s="748">
        <f t="shared" si="21"/>
        <v>29.254571026722925</v>
      </c>
      <c r="G253" s="748">
        <f t="shared" si="22"/>
        <v>208</v>
      </c>
      <c r="H253" s="796"/>
      <c r="I253" s="796"/>
      <c r="J253" s="796"/>
      <c r="K253" s="754" t="s">
        <v>224</v>
      </c>
      <c r="L253" s="796"/>
      <c r="M253" s="796"/>
      <c r="N253" s="796"/>
      <c r="O253" s="796"/>
      <c r="P253" s="798"/>
      <c r="Q253" s="755"/>
      <c r="R253" s="755"/>
      <c r="S253" s="755"/>
      <c r="T253" s="754"/>
    </row>
    <row r="254" spans="1:20" hidden="1">
      <c r="A254" s="745" t="s">
        <v>383</v>
      </c>
      <c r="B254" s="746" t="s">
        <v>747</v>
      </c>
      <c r="C254" s="746"/>
      <c r="D254" s="795">
        <f>'[2]总投资-发采购-0411-GLP拆分场外费用(司调)'!G311</f>
        <v>1959.93</v>
      </c>
      <c r="E254" s="748">
        <f t="shared" si="20"/>
        <v>275.65822784810126</v>
      </c>
      <c r="F254" s="748">
        <f t="shared" si="21"/>
        <v>275.65822784810126</v>
      </c>
      <c r="G254" s="748">
        <f t="shared" si="22"/>
        <v>1959.93</v>
      </c>
      <c r="H254" s="796"/>
      <c r="I254" s="796"/>
      <c r="J254" s="796"/>
      <c r="K254" s="754" t="s">
        <v>224</v>
      </c>
      <c r="L254" s="796"/>
      <c r="M254" s="796"/>
      <c r="N254" s="796"/>
      <c r="O254" s="796"/>
      <c r="P254" s="798"/>
      <c r="Q254" s="755"/>
      <c r="R254" s="755"/>
      <c r="S254" s="755"/>
      <c r="T254" s="754"/>
    </row>
    <row r="255" spans="1:20" hidden="1">
      <c r="A255" s="745" t="s">
        <v>385</v>
      </c>
      <c r="B255" s="746" t="s">
        <v>743</v>
      </c>
      <c r="C255" s="746"/>
      <c r="D255" s="795">
        <f>'[2]总投资-发采购-0411-GLP拆分场外费用(司调)'!G312</f>
        <v>1959.93</v>
      </c>
      <c r="E255" s="748">
        <f t="shared" si="20"/>
        <v>275.65822784810126</v>
      </c>
      <c r="F255" s="748">
        <f t="shared" si="21"/>
        <v>275.65822784810126</v>
      </c>
      <c r="G255" s="748">
        <f t="shared" si="22"/>
        <v>1959.93</v>
      </c>
      <c r="H255" s="796"/>
      <c r="I255" s="796"/>
      <c r="J255" s="796"/>
      <c r="K255" s="754" t="s">
        <v>224</v>
      </c>
      <c r="L255" s="796"/>
      <c r="M255" s="796"/>
      <c r="N255" s="796"/>
      <c r="O255" s="796"/>
      <c r="P255" s="798"/>
      <c r="Q255" s="755"/>
      <c r="R255" s="755"/>
      <c r="S255" s="755"/>
      <c r="T255" s="754"/>
    </row>
    <row r="256" spans="1:20" hidden="1">
      <c r="A256" s="745">
        <v>6.4</v>
      </c>
      <c r="B256" s="746" t="s">
        <v>748</v>
      </c>
      <c r="C256" s="746"/>
      <c r="D256" s="795">
        <f>'[2]总投资-发采购-0411-GLP拆分场外费用(司调)'!G313</f>
        <v>3742.2</v>
      </c>
      <c r="E256" s="748">
        <f t="shared" si="20"/>
        <v>526.3291139240506</v>
      </c>
      <c r="F256" s="748">
        <f t="shared" si="21"/>
        <v>526.3291139240506</v>
      </c>
      <c r="G256" s="748">
        <f t="shared" si="22"/>
        <v>3742.2</v>
      </c>
      <c r="H256" s="796"/>
      <c r="I256" s="796"/>
      <c r="J256" s="796"/>
      <c r="K256" s="754" t="s">
        <v>224</v>
      </c>
      <c r="L256" s="796"/>
      <c r="M256" s="796"/>
      <c r="N256" s="796"/>
      <c r="O256" s="796"/>
      <c r="P256" s="798"/>
      <c r="Q256" s="755"/>
      <c r="R256" s="755"/>
      <c r="S256" s="755"/>
      <c r="T256" s="754"/>
    </row>
    <row r="257" spans="1:20" hidden="1">
      <c r="A257" s="745" t="s">
        <v>387</v>
      </c>
      <c r="B257" s="746" t="s">
        <v>743</v>
      </c>
      <c r="C257" s="746"/>
      <c r="D257" s="795">
        <f>'[2]总投资-发采购-0411-GLP拆分场外费用(司调)'!G314</f>
        <v>3742.2</v>
      </c>
      <c r="E257" s="748">
        <f t="shared" si="20"/>
        <v>526.3291139240506</v>
      </c>
      <c r="F257" s="748">
        <f t="shared" si="21"/>
        <v>526.3291139240506</v>
      </c>
      <c r="G257" s="748">
        <f t="shared" si="22"/>
        <v>3742.2</v>
      </c>
      <c r="H257" s="796"/>
      <c r="I257" s="796"/>
      <c r="J257" s="796"/>
      <c r="K257" s="754" t="s">
        <v>224</v>
      </c>
      <c r="L257" s="796"/>
      <c r="M257" s="796"/>
      <c r="N257" s="796"/>
      <c r="O257" s="796"/>
      <c r="P257" s="798"/>
      <c r="Q257" s="755"/>
      <c r="R257" s="755"/>
      <c r="S257" s="755"/>
      <c r="T257" s="754"/>
    </row>
    <row r="258" spans="1:20" hidden="1">
      <c r="A258" s="745">
        <v>6.5</v>
      </c>
      <c r="B258" s="746" t="s">
        <v>749</v>
      </c>
      <c r="C258" s="746"/>
      <c r="D258" s="795">
        <f>'[2]总投资-发采购-0411-GLP拆分场外费用(司调)'!G315</f>
        <v>4063.5</v>
      </c>
      <c r="E258" s="748">
        <f t="shared" si="20"/>
        <v>571.51898734177212</v>
      </c>
      <c r="F258" s="748">
        <f t="shared" si="21"/>
        <v>571.51898734177212</v>
      </c>
      <c r="G258" s="748">
        <f t="shared" si="22"/>
        <v>4063.5</v>
      </c>
      <c r="H258" s="796"/>
      <c r="I258" s="796"/>
      <c r="J258" s="796"/>
      <c r="K258" s="754" t="s">
        <v>224</v>
      </c>
      <c r="L258" s="796"/>
      <c r="M258" s="796"/>
      <c r="N258" s="796"/>
      <c r="O258" s="796"/>
      <c r="P258" s="798"/>
      <c r="Q258" s="755"/>
      <c r="R258" s="755"/>
      <c r="S258" s="755"/>
      <c r="T258" s="754"/>
    </row>
    <row r="259" spans="1:20" hidden="1">
      <c r="A259" s="745" t="s">
        <v>389</v>
      </c>
      <c r="B259" s="746" t="s">
        <v>743</v>
      </c>
      <c r="C259" s="746"/>
      <c r="D259" s="795">
        <f>'[2]总投资-发采购-0411-GLP拆分场外费用(司调)'!G316</f>
        <v>4063.5</v>
      </c>
      <c r="E259" s="748">
        <f t="shared" si="20"/>
        <v>571.51898734177212</v>
      </c>
      <c r="F259" s="748">
        <f t="shared" si="21"/>
        <v>571.51898734177212</v>
      </c>
      <c r="G259" s="748">
        <f t="shared" si="22"/>
        <v>4063.5</v>
      </c>
      <c r="H259" s="796"/>
      <c r="I259" s="796"/>
      <c r="J259" s="796"/>
      <c r="K259" s="754" t="s">
        <v>224</v>
      </c>
      <c r="L259" s="796"/>
      <c r="M259" s="796"/>
      <c r="N259" s="796"/>
      <c r="O259" s="796"/>
      <c r="P259" s="798"/>
      <c r="Q259" s="755"/>
      <c r="R259" s="755"/>
      <c r="S259" s="755"/>
      <c r="T259" s="754"/>
    </row>
    <row r="260" spans="1:20" hidden="1">
      <c r="A260" s="745">
        <v>6.6</v>
      </c>
      <c r="B260" s="746" t="s">
        <v>750</v>
      </c>
      <c r="C260" s="746"/>
      <c r="D260" s="795">
        <f>'[2]总投资-发采购-0411-GLP拆分场外费用(司调)'!G317</f>
        <v>1338.12</v>
      </c>
      <c r="E260" s="748">
        <f t="shared" si="20"/>
        <v>188.20253164556959</v>
      </c>
      <c r="F260" s="748">
        <f t="shared" si="21"/>
        <v>188.20253164556959</v>
      </c>
      <c r="G260" s="748">
        <f t="shared" si="22"/>
        <v>1338.12</v>
      </c>
      <c r="H260" s="796"/>
      <c r="I260" s="796"/>
      <c r="J260" s="796"/>
      <c r="K260" s="754" t="s">
        <v>224</v>
      </c>
      <c r="L260" s="796"/>
      <c r="M260" s="796"/>
      <c r="N260" s="796"/>
      <c r="O260" s="796"/>
      <c r="P260" s="798"/>
      <c r="Q260" s="755"/>
      <c r="R260" s="755"/>
      <c r="S260" s="755"/>
      <c r="T260" s="754"/>
    </row>
    <row r="261" spans="1:20" hidden="1">
      <c r="A261" s="745" t="s">
        <v>391</v>
      </c>
      <c r="B261" s="746" t="s">
        <v>743</v>
      </c>
      <c r="C261" s="746"/>
      <c r="D261" s="795">
        <f>'[2]总投资-发采购-0411-GLP拆分场外费用(司调)'!G318</f>
        <v>1338.12</v>
      </c>
      <c r="E261" s="748">
        <f t="shared" si="20"/>
        <v>188.20253164556959</v>
      </c>
      <c r="F261" s="748">
        <f t="shared" si="21"/>
        <v>188.20253164556959</v>
      </c>
      <c r="G261" s="748">
        <f t="shared" si="22"/>
        <v>1338.12</v>
      </c>
      <c r="H261" s="796"/>
      <c r="I261" s="796"/>
      <c r="J261" s="796"/>
      <c r="K261" s="754" t="s">
        <v>224</v>
      </c>
      <c r="L261" s="796"/>
      <c r="M261" s="796"/>
      <c r="N261" s="796"/>
      <c r="O261" s="796"/>
      <c r="P261" s="798"/>
      <c r="Q261" s="755"/>
      <c r="R261" s="755"/>
      <c r="S261" s="755"/>
      <c r="T261" s="754"/>
    </row>
    <row r="262" spans="1:20">
      <c r="A262" s="749" t="s">
        <v>392</v>
      </c>
      <c r="B262" s="789" t="s">
        <v>393</v>
      </c>
      <c r="C262" s="789" t="s">
        <v>394</v>
      </c>
      <c r="D262" s="791">
        <f>'[2]总投资-发采购-0411-GLP拆分场外费用(司调)'!G301</f>
        <v>20000</v>
      </c>
      <c r="E262" s="792">
        <f t="shared" si="20"/>
        <v>2812.939521800281</v>
      </c>
      <c r="F262" s="792">
        <f t="shared" si="19"/>
        <v>2812.939521800281</v>
      </c>
      <c r="G262" s="792">
        <f t="shared" si="22"/>
        <v>20000</v>
      </c>
      <c r="H262" s="797" t="s">
        <v>335</v>
      </c>
      <c r="I262" s="749" t="s">
        <v>30</v>
      </c>
      <c r="J262" s="749">
        <v>12</v>
      </c>
      <c r="K262" s="754" t="s">
        <v>224</v>
      </c>
      <c r="L262" s="749"/>
      <c r="M262" s="797" t="s">
        <v>736</v>
      </c>
      <c r="N262" s="749"/>
      <c r="O262" s="749"/>
      <c r="P262" s="755" t="s">
        <v>737</v>
      </c>
      <c r="Q262" s="755" t="s">
        <v>738</v>
      </c>
      <c r="R262" s="755" t="s">
        <v>739</v>
      </c>
      <c r="S262" s="755" t="s">
        <v>740</v>
      </c>
      <c r="T262" s="754"/>
    </row>
    <row r="263" spans="1:20" ht="118.8">
      <c r="A263" s="749" t="s">
        <v>58</v>
      </c>
      <c r="B263" s="790" t="s">
        <v>398</v>
      </c>
      <c r="C263" s="790" t="s">
        <v>399</v>
      </c>
      <c r="D263" s="792">
        <f>SUM('[2]总投资-发采购-0411-GLP拆分场外费用(司调)'!G281,'[2]总投资-发采购-0411-GLP拆分场外费用(司调)'!G282,'[2]总投资-发采购-0411-GLP拆分场外费用(司调)'!G283,'[2]总投资-发采购-0411-GLP拆分场外费用(司调)'!G284,'[2]总投资-发采购-0411-GLP拆分场外费用(司调)'!G285,'[2]总投资-发采购-0411-GLP拆分场外费用(司调)'!G286,'[2]总投资-发采购-0411-GLP拆分场外费用(司调)'!G275,'[2]总投资-发采购-0411-GLP拆分场外费用(司调)'!G276,'[2]总投资-发采购-0411-GLP拆分场外费用(司调)'!G277,'[2]总投资-发采购-0411-GLP拆分场外费用(司调)'!G278,'[2]总投资-发采购-0411-GLP拆分场外费用(司调)'!G279)</f>
        <v>5413.5454999999993</v>
      </c>
      <c r="E263" s="792">
        <f t="shared" si="20"/>
        <v>761.39880450070314</v>
      </c>
      <c r="F263" s="792">
        <f t="shared" si="19"/>
        <v>761.39880450070314</v>
      </c>
      <c r="G263" s="792">
        <f t="shared" ref="G263:G311" si="23">D263</f>
        <v>5413.5454999999993</v>
      </c>
      <c r="H263" s="749" t="s">
        <v>400</v>
      </c>
      <c r="I263" s="749" t="s">
        <v>30</v>
      </c>
      <c r="J263" s="749">
        <v>12</v>
      </c>
      <c r="K263" s="754" t="s">
        <v>401</v>
      </c>
      <c r="L263" s="749" t="s">
        <v>135</v>
      </c>
      <c r="M263" s="797" t="s">
        <v>736</v>
      </c>
      <c r="N263" s="749"/>
      <c r="O263" s="749"/>
      <c r="P263" s="755" t="s">
        <v>737</v>
      </c>
      <c r="Q263" s="755" t="s">
        <v>738</v>
      </c>
      <c r="R263" s="755" t="s">
        <v>739</v>
      </c>
      <c r="S263" s="755" t="s">
        <v>740</v>
      </c>
      <c r="T263" s="754" t="s">
        <v>402</v>
      </c>
    </row>
    <row r="264" spans="1:20" hidden="1">
      <c r="A264" s="745" t="s">
        <v>403</v>
      </c>
      <c r="B264" s="746" t="s">
        <v>751</v>
      </c>
      <c r="C264" s="747">
        <f>'[2]总投资-发采购-0411-GLP拆分场外费用(司调)'!H281</f>
        <v>11022</v>
      </c>
      <c r="D264" s="748">
        <f>'[2]总投资-发采购-0411-GLP拆分场外费用(司调)'!G281</f>
        <v>363.67649999999998</v>
      </c>
      <c r="E264" s="748">
        <f t="shared" si="20"/>
        <v>51.149999999999991</v>
      </c>
      <c r="F264" s="748">
        <f>D264</f>
        <v>363.67649999999998</v>
      </c>
      <c r="G264" s="748">
        <f>E264</f>
        <v>51.149999999999991</v>
      </c>
      <c r="H264" s="749"/>
      <c r="I264" s="749"/>
      <c r="J264" s="749"/>
      <c r="K264" s="754"/>
      <c r="L264" s="749"/>
      <c r="M264" s="749"/>
      <c r="N264" s="749"/>
      <c r="O264" s="749"/>
      <c r="P264" s="755"/>
      <c r="Q264" s="738"/>
      <c r="R264" s="738"/>
      <c r="S264" s="738"/>
      <c r="T264" s="697"/>
    </row>
    <row r="265" spans="1:20" hidden="1">
      <c r="A265" s="745" t="s">
        <v>405</v>
      </c>
      <c r="B265" s="746" t="s">
        <v>752</v>
      </c>
      <c r="C265" s="747">
        <f>'[2]总投资-发采购-0411-GLP拆分场外费用(司调)'!H282</f>
        <v>11707</v>
      </c>
      <c r="D265" s="748">
        <f>'[2]总投资-发采购-0411-GLP拆分场外费用(司调)'!G282</f>
        <v>386.1825</v>
      </c>
      <c r="E265" s="748">
        <f t="shared" ref="E265:E275" si="24">D265/$A$3</f>
        <v>54.315400843881854</v>
      </c>
      <c r="F265" s="748">
        <f t="shared" ref="F265:G274" si="25">D265</f>
        <v>386.1825</v>
      </c>
      <c r="G265" s="748">
        <f t="shared" si="25"/>
        <v>54.315400843881854</v>
      </c>
      <c r="H265" s="749"/>
      <c r="I265" s="749"/>
      <c r="J265" s="749"/>
      <c r="K265" s="754"/>
      <c r="L265" s="749"/>
      <c r="M265" s="749"/>
      <c r="N265" s="749"/>
      <c r="O265" s="749"/>
      <c r="P265" s="755"/>
      <c r="Q265" s="738"/>
      <c r="R265" s="738"/>
      <c r="S265" s="738"/>
      <c r="T265" s="697"/>
    </row>
    <row r="266" spans="1:20" hidden="1">
      <c r="A266" s="745" t="s">
        <v>407</v>
      </c>
      <c r="B266" s="746" t="s">
        <v>753</v>
      </c>
      <c r="C266" s="747">
        <f>'[2]总投资-发采购-0411-GLP拆分场外费用(司调)'!H283</f>
        <v>11707</v>
      </c>
      <c r="D266" s="748">
        <f>'[2]总投资-发采购-0411-GLP拆分场外费用(司调)'!G283</f>
        <v>386.1825</v>
      </c>
      <c r="E266" s="748">
        <f t="shared" si="24"/>
        <v>54.315400843881854</v>
      </c>
      <c r="F266" s="748">
        <f t="shared" si="25"/>
        <v>386.1825</v>
      </c>
      <c r="G266" s="748">
        <f t="shared" si="25"/>
        <v>54.315400843881854</v>
      </c>
      <c r="H266" s="749"/>
      <c r="I266" s="749"/>
      <c r="J266" s="749"/>
      <c r="K266" s="754"/>
      <c r="L266" s="749"/>
      <c r="M266" s="749"/>
      <c r="N266" s="749"/>
      <c r="O266" s="749"/>
      <c r="P266" s="755"/>
      <c r="Q266" s="738"/>
      <c r="R266" s="738"/>
      <c r="S266" s="738"/>
      <c r="T266" s="697"/>
    </row>
    <row r="267" spans="1:20" hidden="1">
      <c r="A267" s="745" t="s">
        <v>409</v>
      </c>
      <c r="B267" s="746" t="s">
        <v>754</v>
      </c>
      <c r="C267" s="747">
        <f>'[2]总投资-发采购-0411-GLP拆分场外费用(司调)'!H284</f>
        <v>11707</v>
      </c>
      <c r="D267" s="748">
        <f>'[2]总投资-发采购-0411-GLP拆分场外费用(司调)'!G284</f>
        <v>386.1825</v>
      </c>
      <c r="E267" s="748">
        <f t="shared" si="24"/>
        <v>54.315400843881854</v>
      </c>
      <c r="F267" s="748">
        <f t="shared" si="25"/>
        <v>386.1825</v>
      </c>
      <c r="G267" s="748">
        <f t="shared" si="25"/>
        <v>54.315400843881854</v>
      </c>
      <c r="H267" s="749"/>
      <c r="I267" s="749"/>
      <c r="J267" s="749"/>
      <c r="K267" s="754"/>
      <c r="L267" s="749"/>
      <c r="M267" s="749"/>
      <c r="N267" s="749"/>
      <c r="O267" s="749"/>
      <c r="P267" s="755"/>
      <c r="Q267" s="738"/>
      <c r="R267" s="738"/>
      <c r="S267" s="738"/>
      <c r="T267" s="697"/>
    </row>
    <row r="268" spans="1:20" hidden="1">
      <c r="A268" s="745" t="s">
        <v>411</v>
      </c>
      <c r="B268" s="746" t="s">
        <v>755</v>
      </c>
      <c r="C268" s="747">
        <f>'[2]总投资-发采购-0411-GLP拆分场外费用(司调)'!H285</f>
        <v>18327</v>
      </c>
      <c r="D268" s="748">
        <f>'[2]总投资-发采购-0411-GLP拆分场外费用(司调)'!G285</f>
        <v>604.76350000000002</v>
      </c>
      <c r="E268" s="748">
        <f t="shared" si="24"/>
        <v>85.058157524613222</v>
      </c>
      <c r="F268" s="748">
        <f t="shared" si="25"/>
        <v>604.76350000000002</v>
      </c>
      <c r="G268" s="748">
        <f t="shared" si="25"/>
        <v>85.058157524613222</v>
      </c>
      <c r="H268" s="749"/>
      <c r="I268" s="749"/>
      <c r="J268" s="749"/>
      <c r="K268" s="754"/>
      <c r="L268" s="749"/>
      <c r="M268" s="749"/>
      <c r="N268" s="749"/>
      <c r="O268" s="749"/>
      <c r="P268" s="755"/>
      <c r="Q268" s="738"/>
      <c r="R268" s="738"/>
      <c r="S268" s="738"/>
      <c r="T268" s="697"/>
    </row>
    <row r="269" spans="1:20" hidden="1">
      <c r="A269" s="745" t="s">
        <v>413</v>
      </c>
      <c r="B269" s="746" t="s">
        <v>756</v>
      </c>
      <c r="C269" s="747">
        <f>'[2]总投资-发采购-0411-GLP拆分场外费用(司调)'!H286</f>
        <v>11664</v>
      </c>
      <c r="D269" s="748">
        <f>'[2]总投资-发采购-0411-GLP拆分场外费用(司调)'!G286</f>
        <v>384.81849999999997</v>
      </c>
      <c r="E269" s="748">
        <f t="shared" si="24"/>
        <v>54.123558368495068</v>
      </c>
      <c r="F269" s="748">
        <f t="shared" si="25"/>
        <v>384.81849999999997</v>
      </c>
      <c r="G269" s="748">
        <f t="shared" si="25"/>
        <v>54.123558368495068</v>
      </c>
      <c r="H269" s="749"/>
      <c r="I269" s="749"/>
      <c r="J269" s="749"/>
      <c r="K269" s="754"/>
      <c r="L269" s="749"/>
      <c r="M269" s="749"/>
      <c r="N269" s="749"/>
      <c r="O269" s="749"/>
      <c r="P269" s="755"/>
      <c r="Q269" s="738"/>
      <c r="R269" s="738"/>
      <c r="S269" s="738"/>
      <c r="T269" s="697"/>
    </row>
    <row r="270" spans="1:20" hidden="1">
      <c r="A270" s="745" t="s">
        <v>415</v>
      </c>
      <c r="B270" s="746" t="s">
        <v>416</v>
      </c>
      <c r="C270" s="747">
        <f>'[2]总投资-发采购-0411-GLP拆分场外费用(司调)'!H275</f>
        <v>16128</v>
      </c>
      <c r="D270" s="748">
        <f>'[2]总投资-发采购-0411-GLP拆分场外费用(司调)'!G275</f>
        <v>532.13049999999998</v>
      </c>
      <c r="E270" s="748">
        <f t="shared" si="24"/>
        <v>74.842545710267217</v>
      </c>
      <c r="F270" s="748">
        <f t="shared" si="25"/>
        <v>532.13049999999998</v>
      </c>
      <c r="G270" s="748">
        <f t="shared" si="25"/>
        <v>74.842545710267217</v>
      </c>
      <c r="H270" s="749"/>
      <c r="I270" s="749"/>
      <c r="J270" s="749"/>
      <c r="K270" s="754"/>
      <c r="L270" s="749"/>
      <c r="M270" s="749"/>
      <c r="N270" s="749"/>
      <c r="O270" s="749"/>
      <c r="P270" s="755"/>
      <c r="Q270" s="738"/>
      <c r="R270" s="738"/>
      <c r="S270" s="738"/>
      <c r="T270" s="697"/>
    </row>
    <row r="271" spans="1:20" hidden="1">
      <c r="A271" s="745" t="s">
        <v>417</v>
      </c>
      <c r="B271" s="746" t="s">
        <v>418</v>
      </c>
      <c r="C271" s="747">
        <f>'[2]总投资-发采购-0411-GLP拆分场外费用(司调)'!H276</f>
        <v>18768</v>
      </c>
      <c r="D271" s="748">
        <f>'[2]总投资-发采购-0411-GLP拆分场外费用(司调)'!G276</f>
        <v>619.25599999999997</v>
      </c>
      <c r="E271" s="748">
        <f t="shared" si="24"/>
        <v>87.096483825597744</v>
      </c>
      <c r="F271" s="748">
        <f t="shared" si="25"/>
        <v>619.25599999999997</v>
      </c>
      <c r="G271" s="748">
        <f t="shared" si="25"/>
        <v>87.096483825597744</v>
      </c>
      <c r="H271" s="749"/>
      <c r="I271" s="749"/>
      <c r="J271" s="749"/>
      <c r="K271" s="754"/>
      <c r="L271" s="749"/>
      <c r="M271" s="749"/>
      <c r="N271" s="749"/>
      <c r="O271" s="749"/>
      <c r="P271" s="755"/>
      <c r="Q271" s="738"/>
      <c r="R271" s="738"/>
      <c r="S271" s="738"/>
      <c r="T271" s="697"/>
    </row>
    <row r="272" spans="1:20" hidden="1">
      <c r="A272" s="745" t="s">
        <v>419</v>
      </c>
      <c r="B272" s="746" t="s">
        <v>420</v>
      </c>
      <c r="C272" s="747">
        <f>'[2]总投资-发采购-0411-GLP拆分场外费用(司调)'!H277</f>
        <v>18768</v>
      </c>
      <c r="D272" s="748">
        <f>'[2]总投资-发采购-0411-GLP拆分场外费用(司调)'!G277</f>
        <v>619.25599999999997</v>
      </c>
      <c r="E272" s="748">
        <f t="shared" si="24"/>
        <v>87.096483825597744</v>
      </c>
      <c r="F272" s="748">
        <f t="shared" si="25"/>
        <v>619.25599999999997</v>
      </c>
      <c r="G272" s="748">
        <f t="shared" si="25"/>
        <v>87.096483825597744</v>
      </c>
      <c r="H272" s="749"/>
      <c r="I272" s="749"/>
      <c r="J272" s="749"/>
      <c r="K272" s="754"/>
      <c r="L272" s="749"/>
      <c r="M272" s="749"/>
      <c r="N272" s="749"/>
      <c r="O272" s="749"/>
      <c r="P272" s="755"/>
      <c r="Q272" s="738"/>
      <c r="R272" s="738"/>
      <c r="S272" s="738"/>
      <c r="T272" s="697"/>
    </row>
    <row r="273" spans="1:20" hidden="1">
      <c r="A273" s="745" t="s">
        <v>421</v>
      </c>
      <c r="B273" s="746" t="s">
        <v>422</v>
      </c>
      <c r="C273" s="747">
        <f>'[2]总投资-发采购-0411-GLP拆分场外费用(司调)'!H278</f>
        <v>17136</v>
      </c>
      <c r="D273" s="748">
        <f>'[2]总投资-发采购-0411-GLP拆分场外费用(司调)'!G278</f>
        <v>565.54849999999999</v>
      </c>
      <c r="E273" s="748">
        <f t="shared" si="24"/>
        <v>79.542686357243312</v>
      </c>
      <c r="F273" s="748">
        <f t="shared" si="25"/>
        <v>565.54849999999999</v>
      </c>
      <c r="G273" s="748">
        <f t="shared" si="25"/>
        <v>79.542686357243312</v>
      </c>
      <c r="H273" s="749"/>
      <c r="I273" s="749"/>
      <c r="J273" s="749"/>
      <c r="K273" s="754"/>
      <c r="L273" s="749"/>
      <c r="M273" s="749"/>
      <c r="N273" s="749"/>
      <c r="O273" s="749"/>
      <c r="P273" s="755"/>
      <c r="Q273" s="738"/>
      <c r="R273" s="738"/>
      <c r="S273" s="738"/>
      <c r="T273" s="697"/>
    </row>
    <row r="274" spans="1:20" hidden="1">
      <c r="A274" s="745" t="s">
        <v>423</v>
      </c>
      <c r="B274" s="746" t="s">
        <v>424</v>
      </c>
      <c r="C274" s="747">
        <f>'[2]总投资-发采购-0411-GLP拆分场外费用(司调)'!H279</f>
        <v>17136</v>
      </c>
      <c r="D274" s="748">
        <f>'[2]总投资-发采购-0411-GLP拆分场外费用(司调)'!G279</f>
        <v>565.54849999999999</v>
      </c>
      <c r="E274" s="748">
        <f t="shared" si="24"/>
        <v>79.542686357243312</v>
      </c>
      <c r="F274" s="748">
        <f t="shared" si="25"/>
        <v>565.54849999999999</v>
      </c>
      <c r="G274" s="748">
        <f t="shared" si="25"/>
        <v>79.542686357243312</v>
      </c>
      <c r="H274" s="749"/>
      <c r="I274" s="749"/>
      <c r="J274" s="749"/>
      <c r="K274" s="754"/>
      <c r="L274" s="749"/>
      <c r="M274" s="749"/>
      <c r="N274" s="749"/>
      <c r="O274" s="749"/>
      <c r="P274" s="755"/>
      <c r="Q274" s="738"/>
      <c r="R274" s="738"/>
      <c r="S274" s="738"/>
      <c r="T274" s="697"/>
    </row>
    <row r="275" spans="1:20" ht="51.6">
      <c r="A275" s="606" t="s">
        <v>63</v>
      </c>
      <c r="B275" s="683" t="s">
        <v>757</v>
      </c>
      <c r="C275" s="683" t="s">
        <v>758</v>
      </c>
      <c r="D275" s="712">
        <f>SUM('[2]总投资-发采购-0411-GLP拆分场外费用(司调)'!G260:G274,'[2]总投资-发采购-0411-GLP拆分场外费用(司调)'!G280)</f>
        <v>6823.4099999999989</v>
      </c>
      <c r="E275" s="685">
        <f t="shared" si="24"/>
        <v>959.69198312236267</v>
      </c>
      <c r="F275" s="685">
        <f t="shared" si="19"/>
        <v>959.69198312236267</v>
      </c>
      <c r="G275" s="685">
        <f t="shared" si="23"/>
        <v>6823.4099999999989</v>
      </c>
      <c r="H275" s="780" t="s">
        <v>427</v>
      </c>
      <c r="I275" s="606" t="s">
        <v>30</v>
      </c>
      <c r="J275" s="715">
        <v>40</v>
      </c>
      <c r="K275" s="697" t="s">
        <v>134</v>
      </c>
      <c r="L275" s="606"/>
      <c r="M275" s="606"/>
      <c r="N275" s="606"/>
      <c r="O275" s="606"/>
      <c r="P275" s="738" t="s">
        <v>181</v>
      </c>
      <c r="Q275" s="738" t="s">
        <v>428</v>
      </c>
      <c r="R275" s="738" t="s">
        <v>517</v>
      </c>
      <c r="S275" s="738" t="s">
        <v>228</v>
      </c>
      <c r="T275" s="697"/>
    </row>
    <row r="276" spans="1:20" hidden="1">
      <c r="A276" s="686">
        <v>4.0999999999999996</v>
      </c>
      <c r="B276" s="687" t="s">
        <v>759</v>
      </c>
      <c r="C276" s="687" t="s">
        <v>431</v>
      </c>
      <c r="D276" s="689">
        <f>[2]总投资20240410!F327</f>
        <v>12236.96</v>
      </c>
      <c r="E276" s="685">
        <f t="shared" ref="E276:E308" si="26">D276/$A$3</f>
        <v>1721.0914205344584</v>
      </c>
      <c r="F276" s="685">
        <f t="shared" si="19"/>
        <v>1721.0914205344584</v>
      </c>
      <c r="G276" s="685">
        <f t="shared" si="23"/>
        <v>12236.96</v>
      </c>
      <c r="H276" s="700"/>
      <c r="I276" s="700"/>
      <c r="J276" s="700"/>
      <c r="K276" s="708"/>
      <c r="L276" s="700"/>
      <c r="M276" s="700"/>
      <c r="N276" s="700"/>
      <c r="O276" s="700"/>
      <c r="P276" s="701"/>
      <c r="Q276" s="701"/>
      <c r="R276" s="701"/>
      <c r="S276" s="701"/>
      <c r="T276" s="708"/>
    </row>
    <row r="277" spans="1:20" hidden="1">
      <c r="A277" s="686"/>
      <c r="B277" s="750" t="s">
        <v>760</v>
      </c>
      <c r="C277" s="750">
        <f>SUM(C278:C292)</f>
        <v>196714.11</v>
      </c>
      <c r="D277" s="720">
        <f>SUM(D278:D293)</f>
        <v>6823.414499999999</v>
      </c>
      <c r="E277" s="685">
        <f t="shared" si="26"/>
        <v>959.69261603375503</v>
      </c>
      <c r="F277" s="685">
        <f t="shared" si="19"/>
        <v>959.69261603375503</v>
      </c>
      <c r="G277" s="685">
        <f t="shared" si="23"/>
        <v>6823.414499999999</v>
      </c>
      <c r="H277" s="700"/>
      <c r="I277" s="700"/>
      <c r="J277" s="700"/>
      <c r="K277" s="708"/>
      <c r="L277" s="700"/>
      <c r="M277" s="700"/>
      <c r="N277" s="700"/>
      <c r="O277" s="700"/>
      <c r="P277" s="701"/>
      <c r="Q277" s="701"/>
      <c r="R277" s="701"/>
      <c r="S277" s="701"/>
      <c r="T277" s="708"/>
    </row>
    <row r="278" spans="1:20" hidden="1">
      <c r="A278" s="686" t="s">
        <v>433</v>
      </c>
      <c r="B278" s="687" t="s">
        <v>761</v>
      </c>
      <c r="C278" s="687">
        <v>5226.66</v>
      </c>
      <c r="D278" s="689">
        <f>'[2]总投资-发采购-0411-GLP拆分场外费用(司调)'!G260</f>
        <v>172.37549999999999</v>
      </c>
      <c r="E278" s="685">
        <f t="shared" si="26"/>
        <v>24.244092827004216</v>
      </c>
      <c r="F278" s="685">
        <f t="shared" si="19"/>
        <v>24.244092827004216</v>
      </c>
      <c r="G278" s="685">
        <f t="shared" si="23"/>
        <v>172.37549999999999</v>
      </c>
      <c r="H278" s="700"/>
      <c r="I278" s="700"/>
      <c r="J278" s="700"/>
      <c r="K278" s="708"/>
      <c r="L278" s="700"/>
      <c r="M278" s="700"/>
      <c r="N278" s="700"/>
      <c r="O278" s="700"/>
      <c r="P278" s="701"/>
      <c r="Q278" s="701"/>
      <c r="R278" s="701"/>
      <c r="S278" s="701"/>
      <c r="T278" s="708"/>
    </row>
    <row r="279" spans="1:20" hidden="1">
      <c r="A279" s="686" t="s">
        <v>435</v>
      </c>
      <c r="B279" s="687" t="s">
        <v>762</v>
      </c>
      <c r="C279" s="687">
        <v>4929.0200000000004</v>
      </c>
      <c r="D279" s="689">
        <f>'[2]总投资-发采购-0411-GLP拆分场外费用(司调)'!G261</f>
        <v>162.65700000000001</v>
      </c>
      <c r="E279" s="685">
        <f t="shared" si="26"/>
        <v>22.877215189873418</v>
      </c>
      <c r="F279" s="685">
        <f t="shared" si="19"/>
        <v>22.877215189873418</v>
      </c>
      <c r="G279" s="685">
        <f t="shared" si="23"/>
        <v>162.65700000000001</v>
      </c>
      <c r="H279" s="700"/>
      <c r="I279" s="700"/>
      <c r="J279" s="700"/>
      <c r="K279" s="708"/>
      <c r="L279" s="700"/>
      <c r="M279" s="700"/>
      <c r="N279" s="700"/>
      <c r="O279" s="700"/>
      <c r="P279" s="701"/>
      <c r="Q279" s="701"/>
      <c r="R279" s="701"/>
      <c r="S279" s="701"/>
      <c r="T279" s="708"/>
    </row>
    <row r="280" spans="1:20" hidden="1">
      <c r="A280" s="686" t="s">
        <v>437</v>
      </c>
      <c r="B280" s="687" t="s">
        <v>438</v>
      </c>
      <c r="C280" s="687">
        <v>13104</v>
      </c>
      <c r="D280" s="689">
        <f>'[2]总投资-发采购-0411-GLP拆分场外费用(司调)'!G262</f>
        <v>432.38799999999998</v>
      </c>
      <c r="E280" s="685">
        <f t="shared" si="26"/>
        <v>60.814064697608998</v>
      </c>
      <c r="F280" s="685">
        <f t="shared" si="19"/>
        <v>60.814064697608998</v>
      </c>
      <c r="G280" s="685">
        <f t="shared" si="23"/>
        <v>432.38799999999998</v>
      </c>
      <c r="H280" s="700"/>
      <c r="I280" s="700"/>
      <c r="J280" s="700"/>
      <c r="K280" s="708"/>
      <c r="L280" s="700"/>
      <c r="M280" s="700"/>
      <c r="N280" s="700"/>
      <c r="O280" s="700"/>
      <c r="P280" s="701"/>
      <c r="Q280" s="701"/>
      <c r="R280" s="701"/>
      <c r="S280" s="701"/>
      <c r="T280" s="708"/>
    </row>
    <row r="281" spans="1:20" hidden="1">
      <c r="A281" s="686" t="s">
        <v>439</v>
      </c>
      <c r="B281" s="687" t="s">
        <v>440</v>
      </c>
      <c r="C281" s="687">
        <v>13104</v>
      </c>
      <c r="D281" s="689">
        <f>'[2]总投资-发采购-0411-GLP拆分场外费用(司调)'!G263</f>
        <v>432.38799999999998</v>
      </c>
      <c r="E281" s="685">
        <f t="shared" si="26"/>
        <v>60.814064697608998</v>
      </c>
      <c r="F281" s="685">
        <f t="shared" si="19"/>
        <v>60.814064697608998</v>
      </c>
      <c r="G281" s="685">
        <f t="shared" si="23"/>
        <v>432.38799999999998</v>
      </c>
      <c r="H281" s="700"/>
      <c r="I281" s="700"/>
      <c r="J281" s="700"/>
      <c r="K281" s="708"/>
      <c r="L281" s="700"/>
      <c r="M281" s="700"/>
      <c r="N281" s="700"/>
      <c r="O281" s="700"/>
      <c r="P281" s="701"/>
      <c r="Q281" s="701"/>
      <c r="R281" s="701"/>
      <c r="S281" s="701"/>
      <c r="T281" s="708"/>
    </row>
    <row r="282" spans="1:20" hidden="1">
      <c r="A282" s="686" t="s">
        <v>441</v>
      </c>
      <c r="B282" s="687" t="s">
        <v>442</v>
      </c>
      <c r="C282" s="687">
        <v>13104</v>
      </c>
      <c r="D282" s="689">
        <f>'[2]总投资-发采购-0411-GLP拆分场外费用(司调)'!G264</f>
        <v>432.38799999999998</v>
      </c>
      <c r="E282" s="685">
        <f t="shared" si="26"/>
        <v>60.814064697608998</v>
      </c>
      <c r="F282" s="685">
        <f t="shared" si="19"/>
        <v>60.814064697608998</v>
      </c>
      <c r="G282" s="685">
        <f t="shared" si="23"/>
        <v>432.38799999999998</v>
      </c>
      <c r="H282" s="700"/>
      <c r="I282" s="700"/>
      <c r="J282" s="700"/>
      <c r="K282" s="708"/>
      <c r="L282" s="700"/>
      <c r="M282" s="700"/>
      <c r="N282" s="700"/>
      <c r="O282" s="700"/>
      <c r="P282" s="701"/>
      <c r="Q282" s="701"/>
      <c r="R282" s="701"/>
      <c r="S282" s="701"/>
      <c r="T282" s="708"/>
    </row>
    <row r="283" spans="1:20" hidden="1">
      <c r="A283" s="686" t="s">
        <v>443</v>
      </c>
      <c r="B283" s="687" t="s">
        <v>444</v>
      </c>
      <c r="C283" s="687">
        <v>13104</v>
      </c>
      <c r="D283" s="689">
        <f>'[2]总投资-发采购-0411-GLP拆分场外费用(司调)'!G265</f>
        <v>432.38799999999998</v>
      </c>
      <c r="E283" s="685">
        <f t="shared" si="26"/>
        <v>60.814064697608998</v>
      </c>
      <c r="F283" s="685">
        <f t="shared" si="19"/>
        <v>60.814064697608998</v>
      </c>
      <c r="G283" s="685">
        <f t="shared" si="23"/>
        <v>432.38799999999998</v>
      </c>
      <c r="H283" s="700"/>
      <c r="I283" s="700"/>
      <c r="J283" s="700"/>
      <c r="K283" s="708"/>
      <c r="L283" s="700"/>
      <c r="M283" s="700"/>
      <c r="N283" s="700"/>
      <c r="O283" s="700"/>
      <c r="P283" s="701"/>
      <c r="Q283" s="701"/>
      <c r="R283" s="701"/>
      <c r="S283" s="701"/>
      <c r="T283" s="708"/>
    </row>
    <row r="284" spans="1:20" hidden="1">
      <c r="A284" s="686" t="s">
        <v>445</v>
      </c>
      <c r="B284" s="687" t="s">
        <v>446</v>
      </c>
      <c r="C284" s="687">
        <v>13104</v>
      </c>
      <c r="D284" s="689">
        <f>'[2]总投资-发采购-0411-GLP拆分场外费用(司调)'!G266</f>
        <v>432.38799999999998</v>
      </c>
      <c r="E284" s="685">
        <f t="shared" si="26"/>
        <v>60.814064697608998</v>
      </c>
      <c r="F284" s="685">
        <f t="shared" si="19"/>
        <v>60.814064697608998</v>
      </c>
      <c r="G284" s="685">
        <f t="shared" si="23"/>
        <v>432.38799999999998</v>
      </c>
      <c r="H284" s="700"/>
      <c r="I284" s="700"/>
      <c r="J284" s="700"/>
      <c r="K284" s="708"/>
      <c r="L284" s="700"/>
      <c r="M284" s="700"/>
      <c r="N284" s="700"/>
      <c r="O284" s="700"/>
      <c r="P284" s="701"/>
      <c r="Q284" s="701"/>
      <c r="R284" s="701"/>
      <c r="S284" s="701"/>
      <c r="T284" s="708"/>
    </row>
    <row r="285" spans="1:20" hidden="1">
      <c r="A285" s="686" t="s">
        <v>447</v>
      </c>
      <c r="B285" s="687" t="s">
        <v>448</v>
      </c>
      <c r="C285" s="687">
        <v>15120</v>
      </c>
      <c r="D285" s="689">
        <f>'[2]总投资-发采购-0411-GLP拆分场外费用(司调)'!G267</f>
        <v>498.88299999999998</v>
      </c>
      <c r="E285" s="685">
        <f t="shared" si="26"/>
        <v>70.166385372714487</v>
      </c>
      <c r="F285" s="685">
        <f t="shared" si="19"/>
        <v>70.166385372714487</v>
      </c>
      <c r="G285" s="685">
        <f t="shared" si="23"/>
        <v>498.88299999999998</v>
      </c>
      <c r="H285" s="700"/>
      <c r="I285" s="700"/>
      <c r="J285" s="700"/>
      <c r="K285" s="708"/>
      <c r="L285" s="700"/>
      <c r="M285" s="700"/>
      <c r="N285" s="700"/>
      <c r="O285" s="700"/>
      <c r="P285" s="701"/>
      <c r="Q285" s="701"/>
      <c r="R285" s="701"/>
      <c r="S285" s="701"/>
      <c r="T285" s="708"/>
    </row>
    <row r="286" spans="1:20" hidden="1">
      <c r="A286" s="686" t="s">
        <v>449</v>
      </c>
      <c r="B286" s="687" t="s">
        <v>450</v>
      </c>
      <c r="C286" s="687">
        <v>15120</v>
      </c>
      <c r="D286" s="689">
        <f>'[2]总投资-发采购-0411-GLP拆分场外费用(司调)'!G268</f>
        <v>498.88299999999998</v>
      </c>
      <c r="E286" s="685">
        <f t="shared" si="26"/>
        <v>70.166385372714487</v>
      </c>
      <c r="F286" s="685">
        <f t="shared" si="19"/>
        <v>70.166385372714487</v>
      </c>
      <c r="G286" s="685">
        <f t="shared" si="23"/>
        <v>498.88299999999998</v>
      </c>
      <c r="H286" s="700"/>
      <c r="I286" s="700"/>
      <c r="J286" s="700"/>
      <c r="K286" s="708"/>
      <c r="L286" s="700"/>
      <c r="M286" s="700"/>
      <c r="N286" s="700"/>
      <c r="O286" s="700"/>
      <c r="P286" s="701"/>
      <c r="Q286" s="701"/>
      <c r="R286" s="701"/>
      <c r="S286" s="701"/>
      <c r="T286" s="708"/>
    </row>
    <row r="287" spans="1:20" hidden="1">
      <c r="A287" s="686" t="s">
        <v>451</v>
      </c>
      <c r="B287" s="687" t="s">
        <v>452</v>
      </c>
      <c r="C287" s="687">
        <v>15120</v>
      </c>
      <c r="D287" s="689">
        <f>'[2]总投资-发采购-0411-GLP拆分场外费用(司调)'!G269</f>
        <v>498.88299999999998</v>
      </c>
      <c r="E287" s="685">
        <f t="shared" si="26"/>
        <v>70.166385372714487</v>
      </c>
      <c r="F287" s="685">
        <f t="shared" si="19"/>
        <v>70.166385372714487</v>
      </c>
      <c r="G287" s="685">
        <f t="shared" si="23"/>
        <v>498.88299999999998</v>
      </c>
      <c r="H287" s="700"/>
      <c r="I287" s="700"/>
      <c r="J287" s="700"/>
      <c r="K287" s="708"/>
      <c r="L287" s="700"/>
      <c r="M287" s="700"/>
      <c r="N287" s="700"/>
      <c r="O287" s="700"/>
      <c r="P287" s="701"/>
      <c r="Q287" s="701"/>
      <c r="R287" s="701"/>
      <c r="S287" s="701"/>
      <c r="T287" s="708"/>
    </row>
    <row r="288" spans="1:20" hidden="1">
      <c r="A288" s="686" t="s">
        <v>453</v>
      </c>
      <c r="B288" s="687" t="s">
        <v>454</v>
      </c>
      <c r="C288" s="687">
        <v>15120</v>
      </c>
      <c r="D288" s="689">
        <f>'[2]总投资-发采购-0411-GLP拆分场外费用(司调)'!G270</f>
        <v>498.88299999999998</v>
      </c>
      <c r="E288" s="685">
        <f t="shared" si="26"/>
        <v>70.166385372714487</v>
      </c>
      <c r="F288" s="685">
        <f t="shared" si="19"/>
        <v>70.166385372714487</v>
      </c>
      <c r="G288" s="685">
        <f t="shared" si="23"/>
        <v>498.88299999999998</v>
      </c>
      <c r="H288" s="700"/>
      <c r="I288" s="700"/>
      <c r="J288" s="700"/>
      <c r="K288" s="708"/>
      <c r="L288" s="700"/>
      <c r="M288" s="700"/>
      <c r="N288" s="700"/>
      <c r="O288" s="700"/>
      <c r="P288" s="701"/>
      <c r="Q288" s="701"/>
      <c r="R288" s="701"/>
      <c r="S288" s="701"/>
      <c r="T288" s="708"/>
    </row>
    <row r="289" spans="1:20" hidden="1">
      <c r="A289" s="686" t="s">
        <v>455</v>
      </c>
      <c r="B289" s="687" t="s">
        <v>456</v>
      </c>
      <c r="C289" s="687">
        <v>10800</v>
      </c>
      <c r="D289" s="689">
        <f>'[2]总投资-发采购-0411-GLP拆分场外费用(司调)'!G271</f>
        <v>356.34500000000003</v>
      </c>
      <c r="E289" s="685">
        <f t="shared" si="26"/>
        <v>50.118846694796062</v>
      </c>
      <c r="F289" s="685">
        <f t="shared" si="19"/>
        <v>50.118846694796062</v>
      </c>
      <c r="G289" s="685">
        <f t="shared" si="23"/>
        <v>356.34500000000003</v>
      </c>
      <c r="H289" s="700"/>
      <c r="I289" s="700"/>
      <c r="J289" s="700"/>
      <c r="K289" s="708"/>
      <c r="L289" s="700"/>
      <c r="M289" s="700"/>
      <c r="N289" s="700"/>
      <c r="O289" s="700"/>
      <c r="P289" s="701"/>
      <c r="Q289" s="701"/>
      <c r="R289" s="701"/>
      <c r="S289" s="701"/>
      <c r="T289" s="708"/>
    </row>
    <row r="290" spans="1:20" hidden="1">
      <c r="A290" s="686" t="s">
        <v>457</v>
      </c>
      <c r="B290" s="687" t="s">
        <v>458</v>
      </c>
      <c r="C290" s="687">
        <v>9360</v>
      </c>
      <c r="D290" s="689">
        <f>'[2]总投资-发采购-0411-GLP拆分场外费用(司调)'!G272</f>
        <v>308.77550000000002</v>
      </c>
      <c r="E290" s="685">
        <f t="shared" si="26"/>
        <v>43.428340365682139</v>
      </c>
      <c r="F290" s="685">
        <f t="shared" si="19"/>
        <v>43.428340365682139</v>
      </c>
      <c r="G290" s="685">
        <f t="shared" si="23"/>
        <v>308.77550000000002</v>
      </c>
      <c r="H290" s="700"/>
      <c r="I290" s="700"/>
      <c r="J290" s="700"/>
      <c r="K290" s="708"/>
      <c r="L290" s="700"/>
      <c r="M290" s="700"/>
      <c r="N290" s="700"/>
      <c r="O290" s="700"/>
      <c r="P290" s="701"/>
      <c r="Q290" s="701"/>
      <c r="R290" s="701"/>
      <c r="S290" s="701"/>
      <c r="T290" s="708"/>
    </row>
    <row r="291" spans="1:20" hidden="1">
      <c r="A291" s="686" t="s">
        <v>459</v>
      </c>
      <c r="B291" s="687" t="s">
        <v>460</v>
      </c>
      <c r="C291" s="687">
        <v>17136</v>
      </c>
      <c r="D291" s="689">
        <f>'[2]总投资-发采购-0411-GLP拆分场外费用(司调)'!G273</f>
        <v>565.54849999999999</v>
      </c>
      <c r="E291" s="685">
        <f t="shared" si="26"/>
        <v>79.542686357243312</v>
      </c>
      <c r="F291" s="685">
        <f t="shared" si="19"/>
        <v>79.542686357243312</v>
      </c>
      <c r="G291" s="685">
        <f t="shared" si="23"/>
        <v>565.54849999999999</v>
      </c>
      <c r="H291" s="700"/>
      <c r="I291" s="700"/>
      <c r="J291" s="700"/>
      <c r="K291" s="708"/>
      <c r="L291" s="700"/>
      <c r="M291" s="700"/>
      <c r="N291" s="700"/>
      <c r="O291" s="700"/>
      <c r="P291" s="701"/>
      <c r="Q291" s="701"/>
      <c r="R291" s="701"/>
      <c r="S291" s="701"/>
      <c r="T291" s="708"/>
    </row>
    <row r="292" spans="1:20" hidden="1">
      <c r="A292" s="686" t="s">
        <v>461</v>
      </c>
      <c r="B292" s="687" t="s">
        <v>462</v>
      </c>
      <c r="C292" s="687">
        <v>23262.43</v>
      </c>
      <c r="D292" s="689">
        <f>'[2]总投资-发采购-0411-GLP拆分场外费用(司调)'!G274</f>
        <v>767.59100000000001</v>
      </c>
      <c r="E292" s="685">
        <f t="shared" si="26"/>
        <v>107.95935302390998</v>
      </c>
      <c r="F292" s="685">
        <f t="shared" si="19"/>
        <v>107.95935302390998</v>
      </c>
      <c r="G292" s="685">
        <f t="shared" si="23"/>
        <v>767.59100000000001</v>
      </c>
      <c r="H292" s="700"/>
      <c r="I292" s="700"/>
      <c r="J292" s="700"/>
      <c r="K292" s="708"/>
      <c r="L292" s="700"/>
      <c r="M292" s="700"/>
      <c r="N292" s="700"/>
      <c r="O292" s="700"/>
      <c r="P292" s="701"/>
      <c r="Q292" s="701"/>
      <c r="R292" s="701"/>
      <c r="S292" s="701"/>
      <c r="T292" s="708"/>
    </row>
    <row r="293" spans="1:20" hidden="1">
      <c r="A293" s="686" t="s">
        <v>463</v>
      </c>
      <c r="B293" s="687" t="s">
        <v>763</v>
      </c>
      <c r="C293" s="687">
        <v>10080</v>
      </c>
      <c r="D293" s="689">
        <v>332.65</v>
      </c>
      <c r="E293" s="685">
        <f t="shared" si="26"/>
        <v>46.786216596343174</v>
      </c>
      <c r="F293" s="685">
        <f t="shared" si="19"/>
        <v>46.786216596343174</v>
      </c>
      <c r="G293" s="685">
        <f t="shared" si="23"/>
        <v>332.65</v>
      </c>
      <c r="H293" s="700"/>
      <c r="I293" s="700"/>
      <c r="J293" s="700"/>
      <c r="K293" s="708"/>
      <c r="L293" s="700"/>
      <c r="M293" s="700"/>
      <c r="N293" s="700"/>
      <c r="O293" s="700"/>
      <c r="P293" s="701"/>
      <c r="Q293" s="701"/>
      <c r="R293" s="701"/>
      <c r="S293" s="701"/>
      <c r="T293" s="708"/>
    </row>
    <row r="294" spans="1:20" hidden="1">
      <c r="A294" s="686"/>
      <c r="B294" s="750" t="s">
        <v>764</v>
      </c>
      <c r="C294" s="750">
        <f>SUM(C295:C299)</f>
        <v>87936</v>
      </c>
      <c r="D294" s="720">
        <f>SUM(D295:D299)</f>
        <v>2901.75</v>
      </c>
      <c r="E294" s="685">
        <f t="shared" si="26"/>
        <v>408.1223628691983</v>
      </c>
      <c r="F294" s="685">
        <f t="shared" si="19"/>
        <v>408.1223628691983</v>
      </c>
      <c r="G294" s="685">
        <f t="shared" si="23"/>
        <v>2901.75</v>
      </c>
      <c r="H294" s="700"/>
      <c r="I294" s="700"/>
      <c r="J294" s="700"/>
      <c r="K294" s="708"/>
      <c r="L294" s="700"/>
      <c r="M294" s="700"/>
      <c r="N294" s="700"/>
      <c r="O294" s="700"/>
      <c r="P294" s="701"/>
      <c r="Q294" s="701"/>
      <c r="R294" s="701"/>
      <c r="S294" s="701"/>
      <c r="T294" s="708"/>
    </row>
    <row r="295" spans="1:20" hidden="1">
      <c r="A295" s="686" t="s">
        <v>415</v>
      </c>
      <c r="B295" s="687" t="s">
        <v>765</v>
      </c>
      <c r="C295" s="687">
        <v>16128</v>
      </c>
      <c r="D295" s="689">
        <v>532.13</v>
      </c>
      <c r="E295" s="685">
        <f t="shared" si="26"/>
        <v>74.842475386779185</v>
      </c>
      <c r="F295" s="685">
        <f t="shared" si="19"/>
        <v>74.842475386779185</v>
      </c>
      <c r="G295" s="685">
        <f t="shared" si="23"/>
        <v>532.13</v>
      </c>
      <c r="H295" s="700"/>
      <c r="I295" s="700"/>
      <c r="J295" s="700"/>
      <c r="K295" s="708"/>
      <c r="L295" s="700"/>
      <c r="M295" s="700"/>
      <c r="N295" s="700"/>
      <c r="O295" s="700"/>
      <c r="P295" s="701"/>
      <c r="Q295" s="701"/>
      <c r="R295" s="701"/>
      <c r="S295" s="701"/>
      <c r="T295" s="708"/>
    </row>
    <row r="296" spans="1:20" hidden="1">
      <c r="A296" s="686" t="s">
        <v>417</v>
      </c>
      <c r="B296" s="687" t="s">
        <v>766</v>
      </c>
      <c r="C296" s="687">
        <v>18768</v>
      </c>
      <c r="D296" s="689">
        <v>619.26</v>
      </c>
      <c r="E296" s="685">
        <f t="shared" si="26"/>
        <v>87.097046413502099</v>
      </c>
      <c r="F296" s="685">
        <f t="shared" si="19"/>
        <v>87.097046413502099</v>
      </c>
      <c r="G296" s="685">
        <f t="shared" si="23"/>
        <v>619.26</v>
      </c>
      <c r="H296" s="700"/>
      <c r="I296" s="700"/>
      <c r="J296" s="700"/>
      <c r="K296" s="708"/>
      <c r="L296" s="700"/>
      <c r="M296" s="700"/>
      <c r="N296" s="700"/>
      <c r="O296" s="700"/>
      <c r="P296" s="701"/>
      <c r="Q296" s="701"/>
      <c r="R296" s="701"/>
      <c r="S296" s="701"/>
      <c r="T296" s="708"/>
    </row>
    <row r="297" spans="1:20" hidden="1">
      <c r="A297" s="686" t="s">
        <v>419</v>
      </c>
      <c r="B297" s="687" t="s">
        <v>767</v>
      </c>
      <c r="C297" s="687">
        <v>18768</v>
      </c>
      <c r="D297" s="689">
        <v>619.26</v>
      </c>
      <c r="E297" s="685">
        <f t="shared" si="26"/>
        <v>87.097046413502099</v>
      </c>
      <c r="F297" s="685">
        <f t="shared" si="19"/>
        <v>87.097046413502099</v>
      </c>
      <c r="G297" s="685">
        <f t="shared" si="23"/>
        <v>619.26</v>
      </c>
      <c r="H297" s="700"/>
      <c r="I297" s="700"/>
      <c r="J297" s="700"/>
      <c r="K297" s="708"/>
      <c r="L297" s="700"/>
      <c r="M297" s="700"/>
      <c r="N297" s="700"/>
      <c r="O297" s="700"/>
      <c r="P297" s="701"/>
      <c r="Q297" s="701"/>
      <c r="R297" s="701"/>
      <c r="S297" s="701"/>
      <c r="T297" s="708"/>
    </row>
    <row r="298" spans="1:20" hidden="1">
      <c r="A298" s="686" t="s">
        <v>421</v>
      </c>
      <c r="B298" s="687" t="s">
        <v>768</v>
      </c>
      <c r="C298" s="687">
        <v>17136</v>
      </c>
      <c r="D298" s="689">
        <v>565.54999999999995</v>
      </c>
      <c r="E298" s="685">
        <f t="shared" si="26"/>
        <v>79.54289732770745</v>
      </c>
      <c r="F298" s="685">
        <f t="shared" si="19"/>
        <v>79.54289732770745</v>
      </c>
      <c r="G298" s="685">
        <f t="shared" si="23"/>
        <v>565.54999999999995</v>
      </c>
      <c r="H298" s="700"/>
      <c r="I298" s="700"/>
      <c r="J298" s="700"/>
      <c r="K298" s="708"/>
      <c r="L298" s="700"/>
      <c r="M298" s="700"/>
      <c r="N298" s="700"/>
      <c r="O298" s="700"/>
      <c r="P298" s="701"/>
      <c r="Q298" s="701"/>
      <c r="R298" s="701"/>
      <c r="S298" s="701"/>
      <c r="T298" s="708"/>
    </row>
    <row r="299" spans="1:20" hidden="1">
      <c r="A299" s="686" t="s">
        <v>423</v>
      </c>
      <c r="B299" s="687" t="s">
        <v>769</v>
      </c>
      <c r="C299" s="687">
        <v>17136</v>
      </c>
      <c r="D299" s="689">
        <v>565.54999999999995</v>
      </c>
      <c r="E299" s="685">
        <f t="shared" si="26"/>
        <v>79.54289732770745</v>
      </c>
      <c r="F299" s="685">
        <f t="shared" si="19"/>
        <v>79.54289732770745</v>
      </c>
      <c r="G299" s="685">
        <f t="shared" si="23"/>
        <v>565.54999999999995</v>
      </c>
      <c r="H299" s="700"/>
      <c r="I299" s="700"/>
      <c r="J299" s="700"/>
      <c r="K299" s="708"/>
      <c r="L299" s="700"/>
      <c r="M299" s="700"/>
      <c r="N299" s="700"/>
      <c r="O299" s="700"/>
      <c r="P299" s="701"/>
      <c r="Q299" s="701"/>
      <c r="R299" s="701"/>
      <c r="S299" s="701"/>
      <c r="T299" s="708"/>
    </row>
    <row r="300" spans="1:20" hidden="1">
      <c r="A300" s="686"/>
      <c r="B300" s="750" t="s">
        <v>770</v>
      </c>
      <c r="C300" s="750">
        <f ca="1">SUM(C293:C306)</f>
        <v>86214</v>
      </c>
      <c r="D300" s="720">
        <f ca="1">SUM(D293:D306)</f>
        <v>2844.45</v>
      </c>
      <c r="E300" s="685">
        <f t="shared" ca="1" si="26"/>
        <v>961.49055194667903</v>
      </c>
      <c r="F300" s="685">
        <f t="shared" ca="1" si="19"/>
        <v>961.49055194667903</v>
      </c>
      <c r="G300" s="685">
        <f t="shared" ca="1" si="23"/>
        <v>6823.41</v>
      </c>
      <c r="H300" s="700"/>
      <c r="I300" s="700"/>
      <c r="J300" s="700"/>
      <c r="K300" s="708"/>
      <c r="L300" s="700"/>
      <c r="M300" s="700"/>
      <c r="N300" s="700"/>
      <c r="O300" s="700"/>
      <c r="P300" s="701"/>
      <c r="Q300" s="701"/>
      <c r="R300" s="701"/>
      <c r="S300" s="701"/>
      <c r="T300" s="708"/>
    </row>
    <row r="301" spans="1:20" ht="26.4" hidden="1">
      <c r="A301" s="686" t="s">
        <v>403</v>
      </c>
      <c r="B301" s="687" t="s">
        <v>771</v>
      </c>
      <c r="C301" s="687">
        <v>11022</v>
      </c>
      <c r="D301" s="689">
        <v>363.68</v>
      </c>
      <c r="E301" s="685">
        <f t="shared" si="26"/>
        <v>51.150492264416314</v>
      </c>
      <c r="F301" s="685">
        <f t="shared" si="19"/>
        <v>51.150492264416314</v>
      </c>
      <c r="G301" s="685">
        <f t="shared" si="23"/>
        <v>363.68</v>
      </c>
      <c r="H301" s="700"/>
      <c r="I301" s="700"/>
      <c r="J301" s="700"/>
      <c r="K301" s="708"/>
      <c r="L301" s="700"/>
      <c r="M301" s="700"/>
      <c r="N301" s="700"/>
      <c r="O301" s="700"/>
      <c r="P301" s="701"/>
      <c r="Q301" s="701"/>
      <c r="R301" s="701"/>
      <c r="S301" s="701"/>
      <c r="T301" s="708"/>
    </row>
    <row r="302" spans="1:20" hidden="1">
      <c r="A302" s="686" t="s">
        <v>405</v>
      </c>
      <c r="B302" s="687" t="s">
        <v>752</v>
      </c>
      <c r="C302" s="687">
        <v>11707</v>
      </c>
      <c r="D302" s="689">
        <v>386.18</v>
      </c>
      <c r="E302" s="685">
        <f t="shared" si="26"/>
        <v>54.31504922644163</v>
      </c>
      <c r="F302" s="685">
        <f t="shared" si="19"/>
        <v>54.31504922644163</v>
      </c>
      <c r="G302" s="685">
        <f t="shared" si="23"/>
        <v>386.18</v>
      </c>
      <c r="H302" s="700"/>
      <c r="I302" s="700"/>
      <c r="J302" s="700"/>
      <c r="K302" s="708"/>
      <c r="L302" s="700"/>
      <c r="M302" s="700"/>
      <c r="N302" s="700"/>
      <c r="O302" s="700"/>
      <c r="P302" s="701"/>
      <c r="Q302" s="701"/>
      <c r="R302" s="701"/>
      <c r="S302" s="701"/>
      <c r="T302" s="708"/>
    </row>
    <row r="303" spans="1:20" hidden="1">
      <c r="A303" s="686" t="s">
        <v>407</v>
      </c>
      <c r="B303" s="687" t="s">
        <v>753</v>
      </c>
      <c r="C303" s="687">
        <v>11707</v>
      </c>
      <c r="D303" s="689">
        <v>386.18</v>
      </c>
      <c r="E303" s="685">
        <f t="shared" si="26"/>
        <v>54.31504922644163</v>
      </c>
      <c r="F303" s="685">
        <f t="shared" si="19"/>
        <v>54.31504922644163</v>
      </c>
      <c r="G303" s="685">
        <f t="shared" si="23"/>
        <v>386.18</v>
      </c>
      <c r="H303" s="700"/>
      <c r="I303" s="700"/>
      <c r="J303" s="700"/>
      <c r="K303" s="708"/>
      <c r="L303" s="700"/>
      <c r="M303" s="700"/>
      <c r="N303" s="700"/>
      <c r="O303" s="700"/>
      <c r="P303" s="701"/>
      <c r="Q303" s="701"/>
      <c r="R303" s="701"/>
      <c r="S303" s="701"/>
      <c r="T303" s="708"/>
    </row>
    <row r="304" spans="1:20" hidden="1">
      <c r="A304" s="686" t="s">
        <v>409</v>
      </c>
      <c r="B304" s="687" t="s">
        <v>754</v>
      </c>
      <c r="C304" s="687">
        <v>11707</v>
      </c>
      <c r="D304" s="689">
        <v>386.18</v>
      </c>
      <c r="E304" s="685">
        <f t="shared" si="26"/>
        <v>54.31504922644163</v>
      </c>
      <c r="F304" s="685">
        <f t="shared" si="19"/>
        <v>54.31504922644163</v>
      </c>
      <c r="G304" s="685">
        <f t="shared" si="23"/>
        <v>386.18</v>
      </c>
      <c r="H304" s="700"/>
      <c r="I304" s="700"/>
      <c r="J304" s="700"/>
      <c r="K304" s="708"/>
      <c r="L304" s="700"/>
      <c r="M304" s="700"/>
      <c r="N304" s="700"/>
      <c r="O304" s="700"/>
      <c r="P304" s="701"/>
      <c r="Q304" s="701"/>
      <c r="R304" s="701"/>
      <c r="S304" s="701"/>
      <c r="T304" s="708"/>
    </row>
    <row r="305" spans="1:20" hidden="1">
      <c r="A305" s="686" t="s">
        <v>411</v>
      </c>
      <c r="B305" s="687" t="s">
        <v>755</v>
      </c>
      <c r="C305" s="687">
        <v>18327</v>
      </c>
      <c r="D305" s="689">
        <v>604.76</v>
      </c>
      <c r="E305" s="685">
        <f t="shared" si="26"/>
        <v>85.057665260196899</v>
      </c>
      <c r="F305" s="685">
        <f t="shared" si="19"/>
        <v>85.057665260196899</v>
      </c>
      <c r="G305" s="685">
        <f t="shared" si="23"/>
        <v>604.76</v>
      </c>
      <c r="H305" s="700"/>
      <c r="I305" s="700"/>
      <c r="J305" s="700"/>
      <c r="K305" s="708"/>
      <c r="L305" s="700"/>
      <c r="M305" s="700"/>
      <c r="N305" s="700"/>
      <c r="O305" s="700"/>
      <c r="P305" s="701"/>
      <c r="Q305" s="701"/>
      <c r="R305" s="701"/>
      <c r="S305" s="701"/>
      <c r="T305" s="708"/>
    </row>
    <row r="306" spans="1:20" hidden="1">
      <c r="A306" s="686" t="s">
        <v>413</v>
      </c>
      <c r="B306" s="687" t="s">
        <v>755</v>
      </c>
      <c r="C306" s="687">
        <v>11664</v>
      </c>
      <c r="D306" s="689">
        <v>384.82</v>
      </c>
      <c r="E306" s="685">
        <f t="shared" si="26"/>
        <v>54.123769338959207</v>
      </c>
      <c r="F306" s="685">
        <f t="shared" si="19"/>
        <v>54.123769338959207</v>
      </c>
      <c r="G306" s="685">
        <f t="shared" si="23"/>
        <v>384.82</v>
      </c>
      <c r="H306" s="700"/>
      <c r="I306" s="700"/>
      <c r="J306" s="700"/>
      <c r="K306" s="708"/>
      <c r="L306" s="700"/>
      <c r="M306" s="700"/>
      <c r="N306" s="700"/>
      <c r="O306" s="700"/>
      <c r="P306" s="701"/>
      <c r="Q306" s="701"/>
      <c r="R306" s="701"/>
      <c r="S306" s="701"/>
      <c r="T306" s="708"/>
    </row>
    <row r="307" spans="1:20">
      <c r="A307" s="606" t="s">
        <v>66</v>
      </c>
      <c r="B307" s="782" t="s">
        <v>473</v>
      </c>
      <c r="C307" s="782" t="s">
        <v>772</v>
      </c>
      <c r="D307" s="712">
        <f>'[2]总投资-发采购-0411-GLP拆分场外费用(司调)'!G251</f>
        <v>3364</v>
      </c>
      <c r="E307" s="712">
        <f t="shared" si="26"/>
        <v>473.1364275668073</v>
      </c>
      <c r="F307" s="712">
        <f t="shared" si="19"/>
        <v>473.1364275668073</v>
      </c>
      <c r="G307" s="712">
        <f t="shared" si="23"/>
        <v>3364</v>
      </c>
      <c r="H307" s="780" t="s">
        <v>427</v>
      </c>
      <c r="I307" s="606" t="s">
        <v>30</v>
      </c>
      <c r="J307" s="606">
        <v>40</v>
      </c>
      <c r="K307" s="697" t="s">
        <v>134</v>
      </c>
      <c r="L307" s="606"/>
      <c r="M307" s="606"/>
      <c r="N307" s="606"/>
      <c r="O307" s="606"/>
      <c r="P307" s="738" t="s">
        <v>181</v>
      </c>
      <c r="Q307" s="738" t="s">
        <v>428</v>
      </c>
      <c r="R307" s="738" t="s">
        <v>517</v>
      </c>
      <c r="S307" s="738" t="s">
        <v>228</v>
      </c>
      <c r="T307" s="697"/>
    </row>
    <row r="308" spans="1:20">
      <c r="A308" s="606" t="s">
        <v>69</v>
      </c>
      <c r="B308" s="776" t="s">
        <v>476</v>
      </c>
      <c r="C308" s="683" t="s">
        <v>773</v>
      </c>
      <c r="D308" s="712">
        <f>'[2]总投资-发采购-0411-GLP拆分场外费用(司调)'!G287</f>
        <v>4000</v>
      </c>
      <c r="E308" s="685">
        <f t="shared" si="26"/>
        <v>562.5879043600562</v>
      </c>
      <c r="F308" s="685">
        <f t="shared" si="19"/>
        <v>562.5879043600562</v>
      </c>
      <c r="G308" s="685">
        <f t="shared" si="23"/>
        <v>4000</v>
      </c>
      <c r="H308" s="780" t="s">
        <v>427</v>
      </c>
      <c r="I308" s="606" t="s">
        <v>30</v>
      </c>
      <c r="J308" s="606">
        <v>40</v>
      </c>
      <c r="K308" s="781" t="s">
        <v>336</v>
      </c>
      <c r="L308" s="606"/>
      <c r="M308" s="606"/>
      <c r="N308" s="606"/>
      <c r="O308" s="606"/>
      <c r="P308" s="738" t="s">
        <v>181</v>
      </c>
      <c r="Q308" s="738" t="s">
        <v>428</v>
      </c>
      <c r="R308" s="738" t="s">
        <v>517</v>
      </c>
      <c r="S308" s="738" t="s">
        <v>228</v>
      </c>
      <c r="T308" s="697"/>
    </row>
    <row r="309" spans="1:20" hidden="1">
      <c r="A309" s="751"/>
      <c r="B309" s="687">
        <v>4.2</v>
      </c>
      <c r="C309" s="687" t="s">
        <v>774</v>
      </c>
      <c r="D309" s="689">
        <f>[2]总投资20240410!F355</f>
        <v>4000</v>
      </c>
      <c r="E309" s="752"/>
      <c r="F309" s="752"/>
      <c r="G309" s="752">
        <f t="shared" si="23"/>
        <v>4000</v>
      </c>
      <c r="H309" s="700"/>
      <c r="I309" s="606"/>
      <c r="J309" s="715"/>
      <c r="K309" s="697"/>
      <c r="L309" s="606"/>
      <c r="M309" s="606"/>
      <c r="N309" s="606"/>
      <c r="O309" s="606"/>
      <c r="P309" s="738"/>
      <c r="Q309" s="738"/>
      <c r="R309" s="738"/>
      <c r="S309" s="738"/>
      <c r="T309" s="697"/>
    </row>
    <row r="310" spans="1:20" ht="72">
      <c r="A310" s="606" t="s">
        <v>72</v>
      </c>
      <c r="B310" s="776" t="s">
        <v>479</v>
      </c>
      <c r="C310" s="776" t="s">
        <v>775</v>
      </c>
      <c r="D310" s="712">
        <f>'[2]总投资-发采购-0411-GLP拆分场外费用(司调)'!G288</f>
        <v>18818.98</v>
      </c>
      <c r="E310" s="685">
        <f>D310/$A$3</f>
        <v>2646.8326300984527</v>
      </c>
      <c r="F310" s="685">
        <f t="shared" ref="F310:F311" si="27">E310</f>
        <v>2646.8326300984527</v>
      </c>
      <c r="G310" s="685">
        <f t="shared" si="23"/>
        <v>18818.98</v>
      </c>
      <c r="H310" s="606" t="s">
        <v>400</v>
      </c>
      <c r="I310" s="585" t="s">
        <v>658</v>
      </c>
      <c r="J310" s="715">
        <v>40</v>
      </c>
      <c r="K310" s="591" t="s">
        <v>180</v>
      </c>
      <c r="L310" s="606" t="s">
        <v>135</v>
      </c>
      <c r="M310" s="606"/>
      <c r="N310" s="606"/>
      <c r="O310" s="606"/>
      <c r="P310" s="738" t="s">
        <v>181</v>
      </c>
      <c r="Q310" s="738" t="s">
        <v>428</v>
      </c>
      <c r="R310" s="738" t="s">
        <v>517</v>
      </c>
      <c r="S310" s="738" t="s">
        <v>228</v>
      </c>
      <c r="T310" s="697"/>
    </row>
    <row r="311" spans="1:20" hidden="1">
      <c r="A311" s="753">
        <v>4.3</v>
      </c>
      <c r="B311" s="690" t="s">
        <v>479</v>
      </c>
      <c r="C311" s="690"/>
      <c r="D311" s="689">
        <f>'[2]总投资-发采购-0411-GLP拆分场外费用(司调)'!G288</f>
        <v>18818.98</v>
      </c>
      <c r="E311" s="752">
        <f>D311/$A$3</f>
        <v>2646.8326300984527</v>
      </c>
      <c r="F311" s="752">
        <f t="shared" si="27"/>
        <v>2646.8326300984527</v>
      </c>
      <c r="G311" s="752">
        <f t="shared" si="23"/>
        <v>18818.98</v>
      </c>
      <c r="H311" s="606"/>
      <c r="I311" s="606"/>
      <c r="J311" s="715"/>
      <c r="K311" s="697"/>
      <c r="L311" s="606"/>
      <c r="M311" s="606"/>
      <c r="N311" s="606"/>
      <c r="O311" s="606"/>
      <c r="P311" s="738"/>
      <c r="Q311" s="738"/>
      <c r="R311" s="738"/>
      <c r="S311" s="698"/>
      <c r="T311" s="697"/>
    </row>
    <row r="312" spans="1:20" hidden="1">
      <c r="A312" s="753" t="s">
        <v>481</v>
      </c>
      <c r="B312" s="690" t="s">
        <v>482</v>
      </c>
      <c r="C312" s="690"/>
      <c r="D312" s="689">
        <f>'[2]总投资-发采购-0411-GLP拆分场外费用(司调)'!G289</f>
        <v>3355</v>
      </c>
      <c r="E312" s="752">
        <f t="shared" ref="E312:E323" si="28">D312/$A$3</f>
        <v>471.87060478199714</v>
      </c>
      <c r="F312" s="752">
        <f t="shared" ref="F312:F323" si="29">E312</f>
        <v>471.87060478199714</v>
      </c>
      <c r="G312" s="752">
        <f t="shared" ref="G312:G323" si="30">D312</f>
        <v>3355</v>
      </c>
      <c r="H312" s="606"/>
      <c r="I312" s="606"/>
      <c r="J312" s="715"/>
      <c r="K312" s="697"/>
      <c r="L312" s="606"/>
      <c r="M312" s="606"/>
      <c r="N312" s="606"/>
      <c r="O312" s="606"/>
      <c r="P312" s="738"/>
      <c r="Q312" s="738"/>
      <c r="R312" s="738"/>
      <c r="S312" s="698"/>
      <c r="T312" s="697"/>
    </row>
    <row r="313" spans="1:20" hidden="1">
      <c r="A313" s="753" t="s">
        <v>483</v>
      </c>
      <c r="B313" s="690" t="s">
        <v>484</v>
      </c>
      <c r="C313" s="690"/>
      <c r="D313" s="689">
        <f>'[2]总投资-发采购-0411-GLP拆分场外费用(司调)'!G290</f>
        <v>920</v>
      </c>
      <c r="E313" s="752">
        <f t="shared" si="28"/>
        <v>129.39521800281292</v>
      </c>
      <c r="F313" s="752">
        <f t="shared" si="29"/>
        <v>129.39521800281292</v>
      </c>
      <c r="G313" s="752">
        <f t="shared" si="30"/>
        <v>920</v>
      </c>
      <c r="H313" s="606"/>
      <c r="I313" s="606"/>
      <c r="J313" s="715"/>
      <c r="K313" s="697"/>
      <c r="L313" s="606"/>
      <c r="M313" s="606"/>
      <c r="N313" s="606"/>
      <c r="O313" s="606"/>
      <c r="P313" s="738"/>
      <c r="Q313" s="738"/>
      <c r="R313" s="738"/>
      <c r="S313" s="698"/>
      <c r="T313" s="697"/>
    </row>
    <row r="314" spans="1:20" hidden="1">
      <c r="A314" s="753" t="s">
        <v>485</v>
      </c>
      <c r="B314" s="690" t="s">
        <v>486</v>
      </c>
      <c r="C314" s="690"/>
      <c r="D314" s="689">
        <f>'[2]总投资-发采购-0411-GLP拆分场外费用(司调)'!G291</f>
        <v>3160</v>
      </c>
      <c r="E314" s="752">
        <f t="shared" si="28"/>
        <v>444.4444444444444</v>
      </c>
      <c r="F314" s="752">
        <f t="shared" si="29"/>
        <v>444.4444444444444</v>
      </c>
      <c r="G314" s="752">
        <f t="shared" si="30"/>
        <v>3160</v>
      </c>
      <c r="H314" s="606"/>
      <c r="I314" s="606"/>
      <c r="J314" s="715"/>
      <c r="K314" s="697"/>
      <c r="L314" s="606"/>
      <c r="M314" s="606"/>
      <c r="N314" s="606"/>
      <c r="O314" s="606"/>
      <c r="P314" s="738"/>
      <c r="Q314" s="738"/>
      <c r="R314" s="738"/>
      <c r="S314" s="698"/>
      <c r="T314" s="697"/>
    </row>
    <row r="315" spans="1:20" hidden="1">
      <c r="A315" s="753" t="s">
        <v>487</v>
      </c>
      <c r="B315" s="690" t="s">
        <v>488</v>
      </c>
      <c r="C315" s="690"/>
      <c r="D315" s="689">
        <f>'[2]总投资-发采购-0411-GLP拆分场外费用(司调)'!G292</f>
        <v>2100</v>
      </c>
      <c r="E315" s="752">
        <f t="shared" si="28"/>
        <v>295.35864978902953</v>
      </c>
      <c r="F315" s="752">
        <f t="shared" si="29"/>
        <v>295.35864978902953</v>
      </c>
      <c r="G315" s="752">
        <f t="shared" si="30"/>
        <v>2100</v>
      </c>
      <c r="H315" s="606"/>
      <c r="I315" s="606"/>
      <c r="J315" s="715"/>
      <c r="K315" s="697"/>
      <c r="L315" s="606"/>
      <c r="M315" s="606"/>
      <c r="N315" s="606"/>
      <c r="O315" s="606"/>
      <c r="P315" s="738"/>
      <c r="Q315" s="738"/>
      <c r="R315" s="738"/>
      <c r="S315" s="698"/>
      <c r="T315" s="697"/>
    </row>
    <row r="316" spans="1:20" hidden="1">
      <c r="A316" s="753" t="s">
        <v>489</v>
      </c>
      <c r="B316" s="690" t="s">
        <v>490</v>
      </c>
      <c r="C316" s="690"/>
      <c r="D316" s="689">
        <f>'[2]总投资-发采购-0411-GLP拆分场外费用(司调)'!G293</f>
        <v>341.9</v>
      </c>
      <c r="E316" s="752">
        <f t="shared" si="28"/>
        <v>48.087201125175802</v>
      </c>
      <c r="F316" s="752">
        <f t="shared" si="29"/>
        <v>48.087201125175802</v>
      </c>
      <c r="G316" s="752">
        <f t="shared" si="30"/>
        <v>341.9</v>
      </c>
      <c r="H316" s="606"/>
      <c r="I316" s="606"/>
      <c r="J316" s="715"/>
      <c r="K316" s="697"/>
      <c r="L316" s="606"/>
      <c r="M316" s="606"/>
      <c r="N316" s="606"/>
      <c r="O316" s="606"/>
      <c r="P316" s="738"/>
      <c r="Q316" s="738"/>
      <c r="R316" s="738"/>
      <c r="S316" s="698"/>
      <c r="T316" s="697"/>
    </row>
    <row r="317" spans="1:20" hidden="1">
      <c r="A317" s="753" t="s">
        <v>491</v>
      </c>
      <c r="B317" s="690" t="s">
        <v>492</v>
      </c>
      <c r="C317" s="690"/>
      <c r="D317" s="689">
        <f>'[2]总投资-发采购-0411-GLP拆分场外费用(司调)'!G294</f>
        <v>656.15</v>
      </c>
      <c r="E317" s="752">
        <f t="shared" si="28"/>
        <v>92.285513361462719</v>
      </c>
      <c r="F317" s="752">
        <f t="shared" si="29"/>
        <v>92.285513361462719</v>
      </c>
      <c r="G317" s="752">
        <f t="shared" si="30"/>
        <v>656.15</v>
      </c>
      <c r="H317" s="606"/>
      <c r="I317" s="606"/>
      <c r="J317" s="715"/>
      <c r="K317" s="697"/>
      <c r="L317" s="606"/>
      <c r="M317" s="606"/>
      <c r="N317" s="606"/>
      <c r="O317" s="606"/>
      <c r="P317" s="738"/>
      <c r="Q317" s="738"/>
      <c r="R317" s="738"/>
      <c r="S317" s="698"/>
      <c r="T317" s="697"/>
    </row>
    <row r="318" spans="1:20" hidden="1">
      <c r="A318" s="753" t="s">
        <v>493</v>
      </c>
      <c r="B318" s="690" t="s">
        <v>494</v>
      </c>
      <c r="C318" s="690"/>
      <c r="D318" s="689">
        <f>'[2]总投资-发采购-0411-GLP拆分场外费用(司调)'!G295</f>
        <v>355.67</v>
      </c>
      <c r="E318" s="752">
        <f t="shared" si="28"/>
        <v>50.023909985935305</v>
      </c>
      <c r="F318" s="752">
        <f t="shared" si="29"/>
        <v>50.023909985935305</v>
      </c>
      <c r="G318" s="752">
        <f t="shared" si="30"/>
        <v>355.67</v>
      </c>
      <c r="H318" s="606"/>
      <c r="I318" s="606"/>
      <c r="J318" s="715"/>
      <c r="K318" s="697"/>
      <c r="L318" s="606"/>
      <c r="M318" s="606"/>
      <c r="N318" s="606"/>
      <c r="O318" s="606"/>
      <c r="P318" s="738"/>
      <c r="Q318" s="738"/>
      <c r="R318" s="738"/>
      <c r="S318" s="698"/>
      <c r="T318" s="697"/>
    </row>
    <row r="319" spans="1:20" ht="26.4" hidden="1">
      <c r="A319" s="753" t="s">
        <v>495</v>
      </c>
      <c r="B319" s="690" t="s">
        <v>496</v>
      </c>
      <c r="C319" s="690"/>
      <c r="D319" s="689">
        <f>'[2]总投资-发采购-0411-GLP拆分场外费用(司调)'!G296</f>
        <v>211.46</v>
      </c>
      <c r="E319" s="752">
        <f t="shared" si="28"/>
        <v>29.741209563994374</v>
      </c>
      <c r="F319" s="752">
        <f t="shared" si="29"/>
        <v>29.741209563994374</v>
      </c>
      <c r="G319" s="752">
        <f t="shared" si="30"/>
        <v>211.46</v>
      </c>
      <c r="H319" s="606"/>
      <c r="I319" s="606"/>
      <c r="J319" s="715"/>
      <c r="K319" s="697"/>
      <c r="L319" s="606"/>
      <c r="M319" s="606"/>
      <c r="N319" s="606"/>
      <c r="O319" s="606"/>
      <c r="P319" s="738"/>
      <c r="Q319" s="738"/>
      <c r="R319" s="738"/>
      <c r="S319" s="698"/>
      <c r="T319" s="697"/>
    </row>
    <row r="320" spans="1:20" hidden="1">
      <c r="A320" s="753" t="s">
        <v>497</v>
      </c>
      <c r="B320" s="690" t="s">
        <v>498</v>
      </c>
      <c r="C320" s="690"/>
      <c r="D320" s="689">
        <f>'[2]总投资-发采购-0411-GLP拆分场外费用(司调)'!G297</f>
        <v>33.6</v>
      </c>
      <c r="E320" s="752">
        <f t="shared" si="28"/>
        <v>4.7257383966244726</v>
      </c>
      <c r="F320" s="752">
        <f t="shared" si="29"/>
        <v>4.7257383966244726</v>
      </c>
      <c r="G320" s="752">
        <f t="shared" si="30"/>
        <v>33.6</v>
      </c>
      <c r="H320" s="606"/>
      <c r="I320" s="606"/>
      <c r="J320" s="715"/>
      <c r="K320" s="697"/>
      <c r="L320" s="606"/>
      <c r="M320" s="606"/>
      <c r="N320" s="606"/>
      <c r="O320" s="606"/>
      <c r="P320" s="738"/>
      <c r="Q320" s="738"/>
      <c r="R320" s="738"/>
      <c r="S320" s="698"/>
      <c r="T320" s="697"/>
    </row>
    <row r="321" spans="1:20" hidden="1">
      <c r="A321" s="753" t="s">
        <v>499</v>
      </c>
      <c r="B321" s="690" t="s">
        <v>500</v>
      </c>
      <c r="C321" s="690"/>
      <c r="D321" s="689">
        <f>'[2]总投资-发采购-0411-GLP拆分场外费用(司调)'!G298</f>
        <v>333.3</v>
      </c>
      <c r="E321" s="752">
        <f t="shared" si="28"/>
        <v>46.877637130801688</v>
      </c>
      <c r="F321" s="752">
        <f t="shared" si="29"/>
        <v>46.877637130801688</v>
      </c>
      <c r="G321" s="752">
        <f t="shared" si="30"/>
        <v>333.3</v>
      </c>
      <c r="H321" s="606"/>
      <c r="I321" s="606"/>
      <c r="J321" s="715"/>
      <c r="K321" s="697"/>
      <c r="L321" s="606"/>
      <c r="M321" s="606"/>
      <c r="N321" s="606"/>
      <c r="O321" s="606"/>
      <c r="P321" s="738"/>
      <c r="Q321" s="738"/>
      <c r="R321" s="738"/>
      <c r="S321" s="698"/>
      <c r="T321" s="697"/>
    </row>
    <row r="322" spans="1:20" hidden="1">
      <c r="A322" s="753" t="s">
        <v>501</v>
      </c>
      <c r="B322" s="690" t="s">
        <v>502</v>
      </c>
      <c r="C322" s="690"/>
      <c r="D322" s="689">
        <f>'[2]总投资-发采购-0411-GLP拆分场外费用(司调)'!G299</f>
        <v>7000</v>
      </c>
      <c r="E322" s="752">
        <f t="shared" si="28"/>
        <v>984.52883263009846</v>
      </c>
      <c r="F322" s="752">
        <f t="shared" si="29"/>
        <v>984.52883263009846</v>
      </c>
      <c r="G322" s="752">
        <f t="shared" si="30"/>
        <v>7000</v>
      </c>
      <c r="H322" s="606"/>
      <c r="I322" s="606"/>
      <c r="J322" s="715"/>
      <c r="K322" s="697"/>
      <c r="L322" s="606"/>
      <c r="M322" s="606"/>
      <c r="N322" s="606"/>
      <c r="O322" s="606"/>
      <c r="P322" s="738"/>
      <c r="Q322" s="738"/>
      <c r="R322" s="738"/>
      <c r="S322" s="698"/>
      <c r="T322" s="697"/>
    </row>
    <row r="323" spans="1:20" hidden="1">
      <c r="A323" s="753" t="s">
        <v>503</v>
      </c>
      <c r="B323" s="690" t="s">
        <v>504</v>
      </c>
      <c r="C323" s="690"/>
      <c r="D323" s="689">
        <f>'[2]总投资-发采购-0411-GLP拆分场外费用(司调)'!G300</f>
        <v>351.9</v>
      </c>
      <c r="E323" s="752">
        <f t="shared" si="28"/>
        <v>49.493670886075947</v>
      </c>
      <c r="F323" s="752">
        <f t="shared" si="29"/>
        <v>49.493670886075947</v>
      </c>
      <c r="G323" s="752">
        <f t="shared" si="30"/>
        <v>351.9</v>
      </c>
      <c r="H323" s="606"/>
      <c r="I323" s="606"/>
      <c r="J323" s="715"/>
      <c r="K323" s="697"/>
      <c r="L323" s="606"/>
      <c r="M323" s="606"/>
      <c r="N323" s="606"/>
      <c r="O323" s="606"/>
      <c r="P323" s="738"/>
      <c r="Q323" s="738"/>
      <c r="R323" s="738"/>
      <c r="S323" s="698"/>
      <c r="T323" s="697"/>
    </row>
    <row r="324" spans="1:20">
      <c r="A324" s="1081" t="s">
        <v>505</v>
      </c>
      <c r="B324" s="1076"/>
      <c r="C324" s="1077"/>
      <c r="D324" s="713">
        <f>SUM(D244,D262,D263,D275,D307,D308,D310)</f>
        <v>78732.785499999998</v>
      </c>
      <c r="E324" s="713">
        <f>SUM(E244,E262,E263,E275,E308,E307,E310)</f>
        <v>11073.528199718705</v>
      </c>
      <c r="F324" s="713">
        <f>SUM(F244,F262,F263,F275,F308,F310)</f>
        <v>10600.391772151896</v>
      </c>
      <c r="G324" s="713">
        <f>SUM(G244,G262,G263,G275,G308,G310)</f>
        <v>75368.785499999998</v>
      </c>
      <c r="H324" s="606"/>
      <c r="I324" s="606"/>
      <c r="J324" s="715"/>
      <c r="K324" s="697"/>
      <c r="L324" s="606"/>
      <c r="M324" s="606"/>
      <c r="N324" s="606"/>
      <c r="O324" s="606"/>
      <c r="P324" s="738"/>
      <c r="Q324" s="738"/>
      <c r="R324" s="738"/>
      <c r="S324" s="698"/>
      <c r="T324" s="697"/>
    </row>
    <row r="325" spans="1:20">
      <c r="A325" s="756" t="s">
        <v>506</v>
      </c>
      <c r="B325" s="774" t="s">
        <v>507</v>
      </c>
      <c r="C325" s="680"/>
      <c r="D325" s="681"/>
      <c r="E325" s="682"/>
      <c r="F325" s="681"/>
      <c r="G325" s="681"/>
      <c r="H325" s="680"/>
      <c r="I325" s="680"/>
      <c r="J325" s="680"/>
      <c r="K325" s="680"/>
      <c r="L325" s="680"/>
      <c r="M325" s="680"/>
      <c r="N325" s="680"/>
      <c r="O325" s="680"/>
      <c r="P325" s="680"/>
      <c r="Q325" s="680"/>
      <c r="R325" s="705"/>
      <c r="S325" s="680"/>
      <c r="T325" s="706"/>
    </row>
    <row r="326" spans="1:20" ht="24">
      <c r="A326" s="749" t="s">
        <v>85</v>
      </c>
      <c r="B326" s="799" t="s">
        <v>776</v>
      </c>
      <c r="C326" s="800" t="s">
        <v>509</v>
      </c>
      <c r="D326" s="792">
        <f>'[2]总投资-发采购-0411-GLP拆分场外费用(司调)'!G333</f>
        <v>1000</v>
      </c>
      <c r="E326" s="792">
        <f>D326/$A$3</f>
        <v>140.64697609001405</v>
      </c>
      <c r="F326" s="792">
        <f>E326</f>
        <v>140.64697609001405</v>
      </c>
      <c r="G326" s="792">
        <f>D326</f>
        <v>1000</v>
      </c>
      <c r="H326" s="797" t="s">
        <v>510</v>
      </c>
      <c r="I326" s="585" t="s">
        <v>89</v>
      </c>
      <c r="J326" s="916">
        <v>51</v>
      </c>
      <c r="K326" s="754" t="s">
        <v>401</v>
      </c>
      <c r="L326" s="749"/>
      <c r="M326" s="749" t="s">
        <v>777</v>
      </c>
      <c r="N326" s="749"/>
      <c r="O326" s="749"/>
      <c r="P326" s="755">
        <v>2024.9</v>
      </c>
      <c r="Q326" s="755" t="s">
        <v>738</v>
      </c>
      <c r="R326" s="755" t="s">
        <v>739</v>
      </c>
      <c r="S326" s="802">
        <v>2028.12</v>
      </c>
      <c r="T326" s="754"/>
    </row>
    <row r="327" spans="1:20" ht="24">
      <c r="A327" s="749" t="s">
        <v>511</v>
      </c>
      <c r="B327" s="799" t="s">
        <v>778</v>
      </c>
      <c r="C327" s="799" t="s">
        <v>779</v>
      </c>
      <c r="D327" s="792">
        <f>'[2]总投资-发采购-0411-GLP拆分场外费用(司调)'!G334</f>
        <v>1000</v>
      </c>
      <c r="E327" s="792">
        <f>D327/$A$3</f>
        <v>140.64697609001405</v>
      </c>
      <c r="F327" s="792">
        <f>E327</f>
        <v>140.64697609001405</v>
      </c>
      <c r="G327" s="792">
        <f>D327</f>
        <v>1000</v>
      </c>
      <c r="H327" s="797" t="s">
        <v>510</v>
      </c>
      <c r="I327" s="585" t="s">
        <v>89</v>
      </c>
      <c r="J327" s="916">
        <v>51</v>
      </c>
      <c r="K327" s="754" t="s">
        <v>401</v>
      </c>
      <c r="L327" s="749"/>
      <c r="M327" s="749" t="s">
        <v>777</v>
      </c>
      <c r="N327" s="749"/>
      <c r="O327" s="749"/>
      <c r="P327" s="755">
        <v>2024.9</v>
      </c>
      <c r="Q327" s="755" t="s">
        <v>738</v>
      </c>
      <c r="R327" s="755" t="s">
        <v>739</v>
      </c>
      <c r="S327" s="802">
        <v>2028.12</v>
      </c>
      <c r="T327" s="754"/>
    </row>
    <row r="328" spans="1:20">
      <c r="A328" s="606" t="s">
        <v>514</v>
      </c>
      <c r="B328" s="683" t="s">
        <v>780</v>
      </c>
      <c r="C328" s="683" t="s">
        <v>781</v>
      </c>
      <c r="D328" s="712">
        <f>'[2]总投资-发采购-0411-GLP拆分场外费用(司调)'!G331</f>
        <v>761</v>
      </c>
      <c r="E328" s="712">
        <f>D328/$A$3</f>
        <v>107.0323488045007</v>
      </c>
      <c r="F328" s="712">
        <f>E328</f>
        <v>107.0323488045007</v>
      </c>
      <c r="G328" s="712">
        <f>D328</f>
        <v>761</v>
      </c>
      <c r="H328" s="780" t="s">
        <v>510</v>
      </c>
      <c r="I328" s="585" t="s">
        <v>89</v>
      </c>
      <c r="J328" s="715">
        <v>42</v>
      </c>
      <c r="K328" s="781" t="s">
        <v>180</v>
      </c>
      <c r="L328" s="606"/>
      <c r="M328" s="780"/>
      <c r="N328" s="606"/>
      <c r="O328" s="606"/>
      <c r="P328" s="738" t="s">
        <v>181</v>
      </c>
      <c r="Q328" s="738" t="s">
        <v>428</v>
      </c>
      <c r="R328" s="738" t="s">
        <v>517</v>
      </c>
      <c r="S328" s="698">
        <v>2028.12</v>
      </c>
      <c r="T328" s="697"/>
    </row>
    <row r="329" spans="1:20">
      <c r="A329" s="606" t="s">
        <v>91</v>
      </c>
      <c r="B329" s="683" t="s">
        <v>782</v>
      </c>
      <c r="C329" s="776" t="s">
        <v>519</v>
      </c>
      <c r="D329" s="712">
        <f>'[2]总投资-发采购-0411-GLP拆分场外费用(司调)'!G332</f>
        <v>116</v>
      </c>
      <c r="E329" s="712">
        <f t="shared" ref="E329:E331" si="31">D329/$A$3</f>
        <v>16.31504922644163</v>
      </c>
      <c r="F329" s="712">
        <f t="shared" ref="F329:F331" si="32">E329</f>
        <v>16.31504922644163</v>
      </c>
      <c r="G329" s="712">
        <f t="shared" ref="G329:G331" si="33">D329</f>
        <v>116</v>
      </c>
      <c r="H329" s="780" t="s">
        <v>510</v>
      </c>
      <c r="I329" s="585" t="s">
        <v>97</v>
      </c>
      <c r="J329" s="715">
        <v>42</v>
      </c>
      <c r="K329" s="591" t="s">
        <v>336</v>
      </c>
      <c r="L329" s="606"/>
      <c r="M329" s="780"/>
      <c r="N329" s="606"/>
      <c r="O329" s="606"/>
      <c r="P329" s="738" t="s">
        <v>181</v>
      </c>
      <c r="Q329" s="738" t="s">
        <v>428</v>
      </c>
      <c r="R329" s="738" t="s">
        <v>517</v>
      </c>
      <c r="S329" s="698">
        <v>2028.12</v>
      </c>
      <c r="T329" s="697"/>
    </row>
    <row r="330" spans="1:20">
      <c r="A330" s="606" t="s">
        <v>94</v>
      </c>
      <c r="B330" s="776" t="s">
        <v>783</v>
      </c>
      <c r="C330" s="683" t="s">
        <v>784</v>
      </c>
      <c r="D330" s="712">
        <f>'[2]总投资-发采购-0411-GLP拆分场外费用(司调)'!G335</f>
        <v>1000</v>
      </c>
      <c r="E330" s="712">
        <f t="shared" si="31"/>
        <v>140.64697609001405</v>
      </c>
      <c r="F330" s="712">
        <f t="shared" si="32"/>
        <v>140.64697609001405</v>
      </c>
      <c r="G330" s="712">
        <f t="shared" si="33"/>
        <v>1000</v>
      </c>
      <c r="H330" s="780" t="s">
        <v>510</v>
      </c>
      <c r="I330" s="585" t="s">
        <v>89</v>
      </c>
      <c r="J330" s="715">
        <v>42</v>
      </c>
      <c r="K330" s="781" t="s">
        <v>180</v>
      </c>
      <c r="L330" s="606"/>
      <c r="M330" s="781"/>
      <c r="N330" s="606"/>
      <c r="O330" s="606"/>
      <c r="P330" s="738" t="s">
        <v>181</v>
      </c>
      <c r="Q330" s="738" t="s">
        <v>428</v>
      </c>
      <c r="R330" s="738" t="s">
        <v>517</v>
      </c>
      <c r="S330" s="698">
        <v>2028.12</v>
      </c>
      <c r="T330" s="697"/>
    </row>
    <row r="331" spans="1:20">
      <c r="A331" s="1081" t="s">
        <v>505</v>
      </c>
      <c r="B331" s="1076"/>
      <c r="C331" s="1077"/>
      <c r="D331" s="713">
        <f>SUM(D326:D330)</f>
        <v>3877</v>
      </c>
      <c r="E331" s="713">
        <f t="shared" si="31"/>
        <v>545.28832630098452</v>
      </c>
      <c r="F331" s="713">
        <f t="shared" si="32"/>
        <v>545.28832630098452</v>
      </c>
      <c r="G331" s="713">
        <f t="shared" si="33"/>
        <v>3877</v>
      </c>
      <c r="H331" s="606"/>
      <c r="I331" s="606"/>
      <c r="J331" s="715"/>
      <c r="K331" s="697"/>
      <c r="L331" s="606"/>
      <c r="M331" s="606"/>
      <c r="N331" s="606"/>
      <c r="O331" s="606"/>
      <c r="P331" s="606"/>
      <c r="Q331" s="606"/>
      <c r="R331" s="738"/>
      <c r="S331" s="742"/>
      <c r="T331" s="697"/>
    </row>
    <row r="332" spans="1:20">
      <c r="A332" s="606"/>
      <c r="B332" s="758"/>
      <c r="C332" s="758"/>
      <c r="D332" s="712"/>
      <c r="E332" s="712"/>
      <c r="F332" s="712"/>
      <c r="G332" s="712"/>
      <c r="H332" s="606"/>
      <c r="I332" s="606"/>
      <c r="J332" s="715"/>
      <c r="K332" s="697"/>
      <c r="L332" s="606"/>
      <c r="M332" s="606"/>
      <c r="N332" s="606"/>
      <c r="O332" s="606"/>
      <c r="P332" s="606"/>
      <c r="Q332" s="606"/>
      <c r="R332" s="738"/>
      <c r="S332" s="742"/>
      <c r="T332" s="697"/>
    </row>
    <row r="333" spans="1:20">
      <c r="A333" s="1082" t="s">
        <v>523</v>
      </c>
      <c r="B333" s="1083"/>
      <c r="C333" s="1084"/>
      <c r="D333" s="759">
        <f>SUM(D211,D242,D324,D331)</f>
        <v>285045.69573175302</v>
      </c>
      <c r="E333" s="759">
        <f>D333/A3</f>
        <v>40090.815152145289</v>
      </c>
      <c r="F333" s="759">
        <f>E333</f>
        <v>40090.815152145289</v>
      </c>
      <c r="G333" s="759">
        <f>D333</f>
        <v>285045.69573175302</v>
      </c>
      <c r="H333" s="706"/>
      <c r="I333" s="706"/>
      <c r="J333" s="764"/>
      <c r="K333" s="765"/>
      <c r="L333" s="706"/>
      <c r="M333" s="706"/>
      <c r="N333" s="706"/>
      <c r="O333" s="706"/>
      <c r="P333" s="706"/>
      <c r="Q333" s="706"/>
      <c r="R333" s="767"/>
      <c r="S333" s="768"/>
      <c r="T333" s="765"/>
    </row>
    <row r="335" spans="1:20">
      <c r="C335" s="760" t="s">
        <v>524</v>
      </c>
      <c r="D335" s="664">
        <f>SUM(D7,D30,D44,D74,D117,D157,D210,D213,D244,D262)</f>
        <v>242748.76023175303</v>
      </c>
      <c r="E335" s="664">
        <f>D335/7.11</f>
        <v>34141.879076195924</v>
      </c>
    </row>
    <row r="336" spans="1:20">
      <c r="C336" s="760" t="s">
        <v>525</v>
      </c>
      <c r="D336" s="664">
        <f>D263+D275+D307+D308+D310</f>
        <v>38419.935499999992</v>
      </c>
      <c r="E336" s="664">
        <f t="shared" ref="E336:E338" si="34">D336/7.11</f>
        <v>5403.6477496483813</v>
      </c>
    </row>
    <row r="337" spans="3:5">
      <c r="C337" s="760" t="s">
        <v>526</v>
      </c>
      <c r="D337" s="664">
        <f>D331</f>
        <v>3877</v>
      </c>
      <c r="E337" s="664">
        <f t="shared" si="34"/>
        <v>545.28832630098452</v>
      </c>
    </row>
    <row r="338" spans="3:5">
      <c r="C338" s="760"/>
      <c r="D338" s="761">
        <f>SUM(D335:D337)</f>
        <v>285045.69573175302</v>
      </c>
      <c r="E338" s="761">
        <f t="shared" si="34"/>
        <v>40090.815152145289</v>
      </c>
    </row>
    <row r="339" spans="3:5">
      <c r="C339" s="760"/>
      <c r="D339" s="664"/>
    </row>
    <row r="341" spans="3:5">
      <c r="C341" s="801" t="s">
        <v>785</v>
      </c>
    </row>
    <row r="342" spans="3:5">
      <c r="C342" s="760" t="s">
        <v>786</v>
      </c>
      <c r="D342" s="664">
        <f>E244</f>
        <v>2856.9409282700417</v>
      </c>
    </row>
    <row r="343" spans="3:5">
      <c r="C343" s="760" t="s">
        <v>787</v>
      </c>
      <c r="D343" s="664">
        <f>E262</f>
        <v>2812.939521800281</v>
      </c>
    </row>
    <row r="344" spans="3:5">
      <c r="C344" s="760" t="s">
        <v>788</v>
      </c>
      <c r="D344" s="664">
        <f>E263</f>
        <v>761.39880450070314</v>
      </c>
    </row>
    <row r="345" spans="3:5">
      <c r="C345" s="760" t="s">
        <v>789</v>
      </c>
      <c r="D345" s="664">
        <f>E326</f>
        <v>140.64697609001405</v>
      </c>
    </row>
    <row r="346" spans="3:5">
      <c r="C346" s="760" t="s">
        <v>790</v>
      </c>
      <c r="D346" s="664">
        <f>E327</f>
        <v>140.64697609001405</v>
      </c>
    </row>
    <row r="347" spans="3:5">
      <c r="C347" s="760"/>
      <c r="D347" s="761">
        <f>SUM(D342:D346)</f>
        <v>6712.5732067510544</v>
      </c>
    </row>
    <row r="348" spans="3:5">
      <c r="C348" s="760"/>
    </row>
    <row r="349" spans="3:5">
      <c r="C349" s="760"/>
    </row>
    <row r="350" spans="3:5">
      <c r="C350" s="760"/>
    </row>
    <row r="351" spans="3:5">
      <c r="C351" s="760"/>
    </row>
    <row r="352" spans="3:5">
      <c r="C352" s="760"/>
    </row>
  </sheetData>
  <mergeCells count="24">
    <mergeCell ref="N4:O5"/>
    <mergeCell ref="A242:C242"/>
    <mergeCell ref="A324:C324"/>
    <mergeCell ref="A331:C331"/>
    <mergeCell ref="A333:C333"/>
    <mergeCell ref="A4:A5"/>
    <mergeCell ref="B4:B5"/>
    <mergeCell ref="C4:C5"/>
    <mergeCell ref="A1:T1"/>
    <mergeCell ref="D4:E4"/>
    <mergeCell ref="F4:G4"/>
    <mergeCell ref="A211:C211"/>
    <mergeCell ref="B212:T212"/>
    <mergeCell ref="H4:H5"/>
    <mergeCell ref="I4:I5"/>
    <mergeCell ref="J4:J5"/>
    <mergeCell ref="K4:K5"/>
    <mergeCell ref="L4:L5"/>
    <mergeCell ref="M4:M5"/>
    <mergeCell ref="P4:P5"/>
    <mergeCell ref="Q4:Q5"/>
    <mergeCell ref="R4:R5"/>
    <mergeCell ref="S4:S5"/>
    <mergeCell ref="T4:T5"/>
  </mergeCells>
  <conditionalFormatting sqref="A210:B210 B213:B241 A214:A241">
    <cfRule type="expression" dxfId="3" priority="1">
      <formula>AND(COUNTIF(#REF!,A210)+COUNTIF(#REF!,A210)&gt;1,NOT(ISBLANK(A210)))</formula>
    </cfRule>
  </conditionalFormatting>
  <printOptions horizontalCentered="1" verticalCentered="1"/>
  <pageMargins left="0.235416666666667" right="0.235416666666667" top="0.39305555555555599" bottom="0.39305555555555599" header="0.31388888888888899" footer="0.31388888888888899"/>
  <pageSetup paperSize="9" scale="56" fitToWidth="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352"/>
  <sheetViews>
    <sheetView topLeftCell="A275" zoomScale="68" zoomScaleNormal="68" workbookViewId="0">
      <selection sqref="A1:T1"/>
    </sheetView>
  </sheetViews>
  <sheetFormatPr defaultColWidth="9" defaultRowHeight="14.4"/>
  <cols>
    <col min="1" max="1" width="14.88671875" style="662" customWidth="1"/>
    <col min="2" max="2" width="30.44140625" style="662" customWidth="1"/>
    <col min="3" max="3" width="62" style="662" customWidth="1"/>
    <col min="4" max="4" width="12.5546875" style="663" customWidth="1"/>
    <col min="5" max="5" width="10.77734375" style="664" customWidth="1"/>
    <col min="6" max="6" width="11.5546875" style="663" customWidth="1"/>
    <col min="7" max="7" width="12.5546875" style="663" hidden="1" customWidth="1"/>
    <col min="8" max="8" width="18" style="662" customWidth="1"/>
    <col min="9" max="9" width="13.33203125" style="662" customWidth="1"/>
    <col min="10" max="10" width="11.33203125" style="662" customWidth="1"/>
    <col min="11" max="11" width="13.109375" style="662" customWidth="1"/>
    <col min="12" max="12" width="9" style="662" hidden="1" customWidth="1"/>
    <col min="13" max="13" width="12" style="662" customWidth="1"/>
    <col min="14" max="14" width="9" style="662" hidden="1" customWidth="1"/>
    <col min="15" max="15" width="6.33203125" style="662" hidden="1" customWidth="1"/>
    <col min="16" max="16" width="8.88671875" style="662" customWidth="1"/>
    <col min="17" max="17" width="10.109375" style="662" customWidth="1"/>
    <col min="18" max="18" width="9.33203125" style="665" customWidth="1"/>
    <col min="19" max="19" width="8.5546875" style="662" customWidth="1"/>
    <col min="20" max="20" width="11.5546875" style="662" customWidth="1"/>
  </cols>
  <sheetData>
    <row r="1" spans="1:20" ht="17.399999999999999">
      <c r="A1" s="1100" t="s">
        <v>791</v>
      </c>
      <c r="B1" s="1100"/>
      <c r="C1" s="1101"/>
      <c r="D1" s="1101"/>
      <c r="E1" s="1101"/>
      <c r="F1" s="1101"/>
      <c r="G1" s="1101"/>
      <c r="H1" s="1101"/>
      <c r="I1" s="1101"/>
      <c r="J1" s="1101"/>
      <c r="K1" s="1101"/>
      <c r="L1" s="1101"/>
      <c r="M1" s="1101"/>
      <c r="N1" s="1101"/>
      <c r="O1" s="1101"/>
      <c r="P1" s="1101"/>
      <c r="Q1" s="1101"/>
      <c r="R1" s="1101"/>
      <c r="S1" s="1101"/>
      <c r="T1" s="1101"/>
    </row>
    <row r="2" spans="1:20">
      <c r="A2" s="666" t="s">
        <v>1</v>
      </c>
      <c r="B2" s="667" t="s">
        <v>528</v>
      </c>
      <c r="C2" s="668"/>
      <c r="D2" s="669"/>
      <c r="F2" s="669"/>
      <c r="G2" s="669"/>
      <c r="H2" s="670"/>
      <c r="I2" s="670"/>
      <c r="J2" s="670"/>
      <c r="K2" s="670"/>
      <c r="L2" s="670"/>
      <c r="M2" s="670"/>
      <c r="N2" s="670"/>
      <c r="O2" s="670"/>
      <c r="P2" s="670"/>
      <c r="Q2" s="670"/>
      <c r="R2" s="702"/>
      <c r="S2" s="670"/>
    </row>
    <row r="3" spans="1:20">
      <c r="A3" s="671">
        <v>7.11</v>
      </c>
      <c r="B3" s="672">
        <v>45394</v>
      </c>
      <c r="C3" s="673"/>
      <c r="D3" s="674"/>
      <c r="E3" s="675"/>
      <c r="F3" s="674"/>
      <c r="G3" s="674"/>
      <c r="H3" s="676"/>
      <c r="I3" s="676"/>
      <c r="J3" s="676"/>
      <c r="K3" s="676"/>
      <c r="L3" s="676"/>
      <c r="M3" s="676"/>
      <c r="N3" s="676"/>
      <c r="O3" s="676"/>
      <c r="P3" s="676"/>
      <c r="Q3" s="676"/>
      <c r="R3" s="703"/>
      <c r="S3" s="676"/>
      <c r="T3" s="704"/>
    </row>
    <row r="4" spans="1:20" ht="26.25" customHeight="1">
      <c r="A4" s="1085" t="s">
        <v>5</v>
      </c>
      <c r="B4" s="1085" t="s">
        <v>6</v>
      </c>
      <c r="C4" s="1085" t="s">
        <v>529</v>
      </c>
      <c r="D4" s="1073" t="s">
        <v>530</v>
      </c>
      <c r="E4" s="1074"/>
      <c r="F4" s="1110" t="s">
        <v>531</v>
      </c>
      <c r="G4" s="1111"/>
      <c r="H4" s="1105" t="s">
        <v>532</v>
      </c>
      <c r="I4" s="1105" t="s">
        <v>11</v>
      </c>
      <c r="J4" s="1106" t="s">
        <v>533</v>
      </c>
      <c r="K4" s="1105" t="s">
        <v>534</v>
      </c>
      <c r="L4" s="1117" t="s">
        <v>117</v>
      </c>
      <c r="M4" s="1107" t="s">
        <v>792</v>
      </c>
      <c r="N4" s="1119" t="s">
        <v>119</v>
      </c>
      <c r="O4" s="1119"/>
      <c r="P4" s="1105" t="s">
        <v>535</v>
      </c>
      <c r="Q4" s="1107" t="s">
        <v>536</v>
      </c>
      <c r="R4" s="1109" t="s">
        <v>537</v>
      </c>
      <c r="S4" s="1105" t="s">
        <v>538</v>
      </c>
      <c r="T4" s="1085" t="s">
        <v>20</v>
      </c>
    </row>
    <row r="5" spans="1:20">
      <c r="A5" s="1086"/>
      <c r="B5" s="1086"/>
      <c r="C5" s="1086"/>
      <c r="D5" s="677" t="s">
        <v>539</v>
      </c>
      <c r="E5" s="677" t="s">
        <v>540</v>
      </c>
      <c r="F5" s="1112"/>
      <c r="G5" s="1113"/>
      <c r="H5" s="1105"/>
      <c r="I5" s="1105"/>
      <c r="J5" s="1089"/>
      <c r="K5" s="1087"/>
      <c r="L5" s="1118"/>
      <c r="M5" s="1098"/>
      <c r="N5" s="1119"/>
      <c r="O5" s="1119"/>
      <c r="P5" s="1105"/>
      <c r="Q5" s="1108"/>
      <c r="R5" s="1109"/>
      <c r="S5" s="1105"/>
      <c r="T5" s="1098"/>
    </row>
    <row r="6" spans="1:20" s="661" customFormat="1" ht="13.2">
      <c r="A6" s="678" t="s">
        <v>24</v>
      </c>
      <c r="B6" s="679" t="s">
        <v>25</v>
      </c>
      <c r="C6" s="680"/>
      <c r="D6" s="681"/>
      <c r="E6" s="682"/>
      <c r="F6" s="681"/>
      <c r="G6" s="681"/>
      <c r="H6" s="680"/>
      <c r="I6" s="680"/>
      <c r="J6" s="680"/>
      <c r="K6" s="680"/>
      <c r="L6" s="680"/>
      <c r="M6" s="680"/>
      <c r="N6" s="680"/>
      <c r="O6" s="680"/>
      <c r="P6" s="680"/>
      <c r="Q6" s="680"/>
      <c r="R6" s="705"/>
      <c r="S6" s="680"/>
      <c r="T6" s="706"/>
    </row>
    <row r="7" spans="1:20" ht="26.4">
      <c r="A7" s="606" t="s">
        <v>130</v>
      </c>
      <c r="B7" s="564" t="s">
        <v>541</v>
      </c>
      <c r="C7" s="683" t="s">
        <v>542</v>
      </c>
      <c r="D7" s="684">
        <f>SUM(D8,D21,D29)</f>
        <v>6876.7533184221402</v>
      </c>
      <c r="E7" s="685">
        <f>D7/A3</f>
        <v>967.19455955304363</v>
      </c>
      <c r="F7" s="685">
        <f>E7</f>
        <v>967.19455955304363</v>
      </c>
      <c r="G7" s="685">
        <f>D7</f>
        <v>6876.7533184221402</v>
      </c>
      <c r="H7" s="606" t="s">
        <v>543</v>
      </c>
      <c r="I7" s="606" t="s">
        <v>30</v>
      </c>
      <c r="J7" s="606">
        <v>18</v>
      </c>
      <c r="K7" s="697" t="s">
        <v>544</v>
      </c>
      <c r="L7" s="606" t="s">
        <v>135</v>
      </c>
      <c r="M7" s="606"/>
      <c r="N7" s="606"/>
      <c r="O7" s="606"/>
      <c r="P7" s="698">
        <v>2025.3</v>
      </c>
      <c r="Q7" s="698">
        <v>2025.4</v>
      </c>
      <c r="R7" s="698" t="s">
        <v>136</v>
      </c>
      <c r="S7" s="698" t="s">
        <v>137</v>
      </c>
      <c r="T7" s="697"/>
    </row>
    <row r="8" spans="1:20" hidden="1">
      <c r="A8" s="686">
        <v>1.1000000000000001</v>
      </c>
      <c r="B8" s="564" t="s">
        <v>545</v>
      </c>
      <c r="C8" s="687" t="s">
        <v>676</v>
      </c>
      <c r="D8" s="688">
        <f>'[2]总投资-发采购-0411-GLP拆分场外费用(司调)'!G7</f>
        <v>5931.3338184221402</v>
      </c>
      <c r="E8" s="689"/>
      <c r="F8" s="689">
        <f t="shared" ref="F8:F71" si="0">E8</f>
        <v>0</v>
      </c>
      <c r="G8" s="689">
        <f t="shared" ref="G8:G71" si="1">D8</f>
        <v>5931.3338184221402</v>
      </c>
      <c r="H8" s="606" t="s">
        <v>543</v>
      </c>
      <c r="I8" s="686"/>
      <c r="J8" s="686"/>
      <c r="K8" s="697" t="s">
        <v>544</v>
      </c>
      <c r="L8" s="686"/>
      <c r="M8" s="606"/>
      <c r="N8" s="686"/>
      <c r="O8" s="686"/>
      <c r="P8" s="699"/>
      <c r="Q8" s="699"/>
      <c r="R8" s="699"/>
      <c r="S8" s="699"/>
      <c r="T8" s="707"/>
    </row>
    <row r="9" spans="1:20" hidden="1">
      <c r="A9" s="686" t="s">
        <v>140</v>
      </c>
      <c r="B9" s="564" t="s">
        <v>546</v>
      </c>
      <c r="C9" s="687" t="s">
        <v>677</v>
      </c>
      <c r="D9" s="688">
        <f>'[2]总投资-发采购-0411-GLP拆分场外费用(司调)'!G8</f>
        <v>4137.5599067698404</v>
      </c>
      <c r="E9" s="689"/>
      <c r="F9" s="689">
        <f t="shared" si="0"/>
        <v>0</v>
      </c>
      <c r="G9" s="689">
        <f t="shared" si="1"/>
        <v>4137.5599067698404</v>
      </c>
      <c r="H9" s="606" t="s">
        <v>543</v>
      </c>
      <c r="I9" s="686"/>
      <c r="J9" s="686"/>
      <c r="K9" s="697" t="s">
        <v>544</v>
      </c>
      <c r="L9" s="686"/>
      <c r="M9" s="606"/>
      <c r="N9" s="686"/>
      <c r="O9" s="686"/>
      <c r="P9" s="699"/>
      <c r="Q9" s="699"/>
      <c r="R9" s="699"/>
      <c r="S9" s="699"/>
      <c r="T9" s="707"/>
    </row>
    <row r="10" spans="1:20" hidden="1">
      <c r="A10" s="686" t="s">
        <v>142</v>
      </c>
      <c r="B10" s="564" t="s">
        <v>27</v>
      </c>
      <c r="C10" s="687" t="s">
        <v>678</v>
      </c>
      <c r="D10" s="688">
        <f>'[2]总投资-发采购-0411-GLP拆分场外费用(司调)'!G9</f>
        <v>13.96608</v>
      </c>
      <c r="E10" s="689"/>
      <c r="F10" s="689">
        <f t="shared" si="0"/>
        <v>0</v>
      </c>
      <c r="G10" s="689">
        <f t="shared" si="1"/>
        <v>13.96608</v>
      </c>
      <c r="H10" s="606" t="s">
        <v>543</v>
      </c>
      <c r="I10" s="686"/>
      <c r="J10" s="686"/>
      <c r="K10" s="697" t="s">
        <v>544</v>
      </c>
      <c r="L10" s="686"/>
      <c r="M10" s="606"/>
      <c r="N10" s="686"/>
      <c r="O10" s="686"/>
      <c r="P10" s="699"/>
      <c r="Q10" s="699"/>
      <c r="R10" s="699"/>
      <c r="S10" s="699"/>
      <c r="T10" s="707"/>
    </row>
    <row r="11" spans="1:20" hidden="1">
      <c r="A11" s="686" t="s">
        <v>144</v>
      </c>
      <c r="B11" s="564" t="s">
        <v>36</v>
      </c>
      <c r="C11" s="687" t="s">
        <v>679</v>
      </c>
      <c r="D11" s="688">
        <f>'[2]总投资-发采购-0411-GLP拆分场外费用(司调)'!G10</f>
        <v>125.69472</v>
      </c>
      <c r="E11" s="689"/>
      <c r="F11" s="689">
        <f t="shared" si="0"/>
        <v>0</v>
      </c>
      <c r="G11" s="689">
        <f t="shared" si="1"/>
        <v>125.69472</v>
      </c>
      <c r="H11" s="606" t="s">
        <v>543</v>
      </c>
      <c r="I11" s="686"/>
      <c r="J11" s="686"/>
      <c r="K11" s="697" t="s">
        <v>544</v>
      </c>
      <c r="L11" s="686"/>
      <c r="M11" s="606"/>
      <c r="N11" s="686"/>
      <c r="O11" s="686"/>
      <c r="P11" s="699"/>
      <c r="Q11" s="699"/>
      <c r="R11" s="699"/>
      <c r="S11" s="699"/>
      <c r="T11" s="707"/>
    </row>
    <row r="12" spans="1:20" ht="26.4" hidden="1">
      <c r="A12" s="686" t="s">
        <v>146</v>
      </c>
      <c r="B12" s="564" t="s">
        <v>547</v>
      </c>
      <c r="C12" s="687" t="s">
        <v>680</v>
      </c>
      <c r="D12" s="688">
        <f>'[2]总投资-发采购-0411-GLP拆分场外费用(司调)'!G11</f>
        <v>97.762559999999993</v>
      </c>
      <c r="E12" s="689"/>
      <c r="F12" s="689">
        <f t="shared" si="0"/>
        <v>0</v>
      </c>
      <c r="G12" s="689">
        <f t="shared" si="1"/>
        <v>97.762559999999993</v>
      </c>
      <c r="H12" s="606" t="s">
        <v>543</v>
      </c>
      <c r="I12" s="686"/>
      <c r="J12" s="686"/>
      <c r="K12" s="697" t="s">
        <v>544</v>
      </c>
      <c r="L12" s="686"/>
      <c r="M12" s="606"/>
      <c r="N12" s="686"/>
      <c r="O12" s="686"/>
      <c r="P12" s="699"/>
      <c r="Q12" s="699"/>
      <c r="R12" s="699"/>
      <c r="S12" s="699"/>
      <c r="T12" s="707"/>
    </row>
    <row r="13" spans="1:20" hidden="1">
      <c r="A13" s="686" t="s">
        <v>148</v>
      </c>
      <c r="B13" s="564" t="s">
        <v>548</v>
      </c>
      <c r="C13" s="687" t="s">
        <v>681</v>
      </c>
      <c r="D13" s="688">
        <f>'[2]总投资-发采购-0411-GLP拆分场外费用(司调)'!G12</f>
        <v>216.47424000000001</v>
      </c>
      <c r="E13" s="689"/>
      <c r="F13" s="689">
        <f t="shared" si="0"/>
        <v>0</v>
      </c>
      <c r="G13" s="689">
        <f t="shared" si="1"/>
        <v>216.47424000000001</v>
      </c>
      <c r="H13" s="606" t="s">
        <v>543</v>
      </c>
      <c r="I13" s="686"/>
      <c r="J13" s="686"/>
      <c r="K13" s="697" t="s">
        <v>544</v>
      </c>
      <c r="L13" s="686"/>
      <c r="M13" s="606"/>
      <c r="N13" s="686"/>
      <c r="O13" s="686"/>
      <c r="P13" s="699"/>
      <c r="Q13" s="699"/>
      <c r="R13" s="699"/>
      <c r="S13" s="699"/>
      <c r="T13" s="707"/>
    </row>
    <row r="14" spans="1:20" hidden="1">
      <c r="A14" s="686" t="s">
        <v>150</v>
      </c>
      <c r="B14" s="690"/>
      <c r="C14" s="687" t="s">
        <v>682</v>
      </c>
      <c r="D14" s="688">
        <f>'[2]总投资-发采购-0411-GLP拆分场外费用(司调)'!G13</f>
        <v>59.652501722990401</v>
      </c>
      <c r="E14" s="689"/>
      <c r="F14" s="689">
        <f t="shared" si="0"/>
        <v>0</v>
      </c>
      <c r="G14" s="689">
        <f t="shared" si="1"/>
        <v>59.652501722990401</v>
      </c>
      <c r="H14" s="606" t="s">
        <v>543</v>
      </c>
      <c r="I14" s="686"/>
      <c r="J14" s="686"/>
      <c r="K14" s="697" t="s">
        <v>544</v>
      </c>
      <c r="L14" s="686"/>
      <c r="M14" s="606"/>
      <c r="N14" s="686"/>
      <c r="O14" s="686"/>
      <c r="P14" s="699"/>
      <c r="Q14" s="699"/>
      <c r="R14" s="699"/>
      <c r="S14" s="699"/>
      <c r="T14" s="707"/>
    </row>
    <row r="15" spans="1:20" hidden="1">
      <c r="A15" s="686" t="s">
        <v>152</v>
      </c>
      <c r="B15" s="690"/>
      <c r="C15" s="687" t="s">
        <v>683</v>
      </c>
      <c r="D15" s="688">
        <f>'[2]总投资-发采购-0411-GLP拆分场外费用(司调)'!G14</f>
        <v>218.22</v>
      </c>
      <c r="E15" s="689"/>
      <c r="F15" s="689">
        <f t="shared" si="0"/>
        <v>0</v>
      </c>
      <c r="G15" s="689">
        <f t="shared" si="1"/>
        <v>218.22</v>
      </c>
      <c r="H15" s="606" t="s">
        <v>543</v>
      </c>
      <c r="I15" s="686"/>
      <c r="J15" s="686"/>
      <c r="K15" s="697" t="s">
        <v>544</v>
      </c>
      <c r="L15" s="686"/>
      <c r="M15" s="606"/>
      <c r="N15" s="686"/>
      <c r="O15" s="686"/>
      <c r="P15" s="699"/>
      <c r="Q15" s="699"/>
      <c r="R15" s="699"/>
      <c r="S15" s="699"/>
      <c r="T15" s="707"/>
    </row>
    <row r="16" spans="1:20" hidden="1">
      <c r="A16" s="686" t="s">
        <v>154</v>
      </c>
      <c r="B16" s="690"/>
      <c r="C16" s="687" t="s">
        <v>684</v>
      </c>
      <c r="D16" s="688">
        <f>'[2]总投资-发采购-0411-GLP拆分场外费用(司调)'!G15</f>
        <v>1024.0038099293099</v>
      </c>
      <c r="E16" s="689"/>
      <c r="F16" s="689">
        <f t="shared" si="0"/>
        <v>0</v>
      </c>
      <c r="G16" s="689">
        <f t="shared" si="1"/>
        <v>1024.0038099293099</v>
      </c>
      <c r="H16" s="606" t="s">
        <v>543</v>
      </c>
      <c r="I16" s="686"/>
      <c r="J16" s="686"/>
      <c r="K16" s="697" t="s">
        <v>544</v>
      </c>
      <c r="L16" s="686"/>
      <c r="M16" s="606"/>
      <c r="N16" s="686"/>
      <c r="O16" s="686"/>
      <c r="P16" s="699"/>
      <c r="Q16" s="699"/>
      <c r="R16" s="699"/>
      <c r="S16" s="699"/>
      <c r="T16" s="707"/>
    </row>
    <row r="17" spans="1:20" hidden="1">
      <c r="A17" s="686" t="s">
        <v>154</v>
      </c>
      <c r="B17" s="690"/>
      <c r="C17" s="687" t="s">
        <v>685</v>
      </c>
      <c r="D17" s="688">
        <f>'[2]总投资-发采购-0411-GLP拆分场外费用(司调)'!G16</f>
        <v>38</v>
      </c>
      <c r="E17" s="689"/>
      <c r="F17" s="689">
        <f t="shared" si="0"/>
        <v>0</v>
      </c>
      <c r="G17" s="689">
        <f t="shared" si="1"/>
        <v>38</v>
      </c>
      <c r="H17" s="606" t="s">
        <v>543</v>
      </c>
      <c r="I17" s="686"/>
      <c r="J17" s="686"/>
      <c r="K17" s="697" t="s">
        <v>544</v>
      </c>
      <c r="L17" s="686"/>
      <c r="M17" s="606"/>
      <c r="N17" s="686"/>
      <c r="O17" s="686"/>
      <c r="P17" s="699"/>
      <c r="Q17" s="699"/>
      <c r="R17" s="699"/>
      <c r="S17" s="699"/>
      <c r="T17" s="707"/>
    </row>
    <row r="18" spans="1:20" hidden="1">
      <c r="A18" s="686"/>
      <c r="B18" s="690"/>
      <c r="C18" s="687" t="s">
        <v>686</v>
      </c>
      <c r="D18" s="688">
        <f>'[2]总投资-发采购-0411-GLP拆分场外费用(司调)'!G17</f>
        <v>1</v>
      </c>
      <c r="E18" s="689"/>
      <c r="F18" s="689">
        <f t="shared" si="0"/>
        <v>0</v>
      </c>
      <c r="G18" s="689">
        <f t="shared" si="1"/>
        <v>1</v>
      </c>
      <c r="H18" s="606" t="s">
        <v>543</v>
      </c>
      <c r="I18" s="686"/>
      <c r="J18" s="686"/>
      <c r="K18" s="697" t="s">
        <v>544</v>
      </c>
      <c r="L18" s="686"/>
      <c r="M18" s="606"/>
      <c r="N18" s="686"/>
      <c r="O18" s="686"/>
      <c r="P18" s="699"/>
      <c r="Q18" s="699"/>
      <c r="R18" s="699"/>
      <c r="S18" s="699"/>
      <c r="T18" s="707"/>
    </row>
    <row r="19" spans="1:20" hidden="1">
      <c r="A19" s="686"/>
      <c r="B19" s="690"/>
      <c r="C19" s="687" t="s">
        <v>687</v>
      </c>
      <c r="D19" s="688">
        <f>'[2]总投资-发采购-0411-GLP拆分场外费用(司调)'!G18</f>
        <v>4</v>
      </c>
      <c r="E19" s="689"/>
      <c r="F19" s="689">
        <f t="shared" si="0"/>
        <v>0</v>
      </c>
      <c r="G19" s="689">
        <f t="shared" si="1"/>
        <v>4</v>
      </c>
      <c r="H19" s="606" t="s">
        <v>543</v>
      </c>
      <c r="I19" s="686"/>
      <c r="J19" s="686"/>
      <c r="K19" s="697" t="s">
        <v>544</v>
      </c>
      <c r="L19" s="686"/>
      <c r="M19" s="606"/>
      <c r="N19" s="686"/>
      <c r="O19" s="686"/>
      <c r="P19" s="699"/>
      <c r="Q19" s="699"/>
      <c r="R19" s="699"/>
      <c r="S19" s="699"/>
      <c r="T19" s="707"/>
    </row>
    <row r="20" spans="1:20" hidden="1">
      <c r="A20" s="686"/>
      <c r="B20" s="691"/>
      <c r="C20" s="692" t="s">
        <v>688</v>
      </c>
      <c r="D20" s="688">
        <f>'[2]总投资-发采购-0411-GLP拆分场外费用(司调)'!G19</f>
        <v>33</v>
      </c>
      <c r="E20" s="693"/>
      <c r="F20" s="689">
        <f t="shared" si="0"/>
        <v>0</v>
      </c>
      <c r="G20" s="689">
        <f t="shared" si="1"/>
        <v>33</v>
      </c>
      <c r="H20" s="606" t="s">
        <v>543</v>
      </c>
      <c r="I20" s="686"/>
      <c r="J20" s="686"/>
      <c r="K20" s="697" t="s">
        <v>544</v>
      </c>
      <c r="L20" s="686"/>
      <c r="M20" s="606"/>
      <c r="N20" s="686"/>
      <c r="O20" s="686"/>
      <c r="P20" s="699"/>
      <c r="Q20" s="699"/>
      <c r="R20" s="699"/>
      <c r="S20" s="699"/>
      <c r="T20" s="707"/>
    </row>
    <row r="21" spans="1:20" hidden="1">
      <c r="A21" s="686" t="s">
        <v>160</v>
      </c>
      <c r="B21" s="690"/>
      <c r="C21" s="694" t="s">
        <v>689</v>
      </c>
      <c r="D21" s="688">
        <f>'[2]总投资-发采购-0411-GLP拆分场外费用(司调)'!G20</f>
        <v>481.61950000000002</v>
      </c>
      <c r="E21" s="693"/>
      <c r="F21" s="689">
        <f t="shared" si="0"/>
        <v>0</v>
      </c>
      <c r="G21" s="689">
        <f t="shared" si="1"/>
        <v>481.61950000000002</v>
      </c>
      <c r="H21" s="606" t="s">
        <v>543</v>
      </c>
      <c r="I21" s="686"/>
      <c r="J21" s="686"/>
      <c r="K21" s="697" t="s">
        <v>544</v>
      </c>
      <c r="L21" s="686"/>
      <c r="M21" s="606"/>
      <c r="N21" s="686"/>
      <c r="O21" s="686"/>
      <c r="P21" s="699"/>
      <c r="Q21" s="699"/>
      <c r="R21" s="699"/>
      <c r="S21" s="699"/>
      <c r="T21" s="707"/>
    </row>
    <row r="22" spans="1:20" hidden="1">
      <c r="A22" s="686" t="s">
        <v>162</v>
      </c>
      <c r="B22" s="690"/>
      <c r="C22" s="694" t="s">
        <v>690</v>
      </c>
      <c r="D22" s="688">
        <f>'[2]总投资-发采购-0411-GLP拆分场外费用(司调)'!G21</f>
        <v>3.3214999999999999</v>
      </c>
      <c r="E22" s="693"/>
      <c r="F22" s="689">
        <f t="shared" si="0"/>
        <v>0</v>
      </c>
      <c r="G22" s="689">
        <f t="shared" si="1"/>
        <v>3.3214999999999999</v>
      </c>
      <c r="H22" s="606" t="s">
        <v>543</v>
      </c>
      <c r="I22" s="686"/>
      <c r="J22" s="686"/>
      <c r="K22" s="697" t="s">
        <v>544</v>
      </c>
      <c r="L22" s="686"/>
      <c r="M22" s="606"/>
      <c r="N22" s="686"/>
      <c r="O22" s="686"/>
      <c r="P22" s="699"/>
      <c r="Q22" s="699"/>
      <c r="R22" s="699"/>
      <c r="S22" s="699"/>
      <c r="T22" s="707"/>
    </row>
    <row r="23" spans="1:20" hidden="1">
      <c r="A23" s="686" t="s">
        <v>164</v>
      </c>
      <c r="B23" s="690"/>
      <c r="C23" s="694" t="s">
        <v>691</v>
      </c>
      <c r="D23" s="688">
        <f>'[2]总投资-发采购-0411-GLP拆分场外费用(司调)'!G22</f>
        <v>455.52</v>
      </c>
      <c r="E23" s="693"/>
      <c r="F23" s="689">
        <f t="shared" si="0"/>
        <v>0</v>
      </c>
      <c r="G23" s="689">
        <f t="shared" si="1"/>
        <v>455.52</v>
      </c>
      <c r="H23" s="606" t="s">
        <v>543</v>
      </c>
      <c r="I23" s="686"/>
      <c r="J23" s="686"/>
      <c r="K23" s="697" t="s">
        <v>544</v>
      </c>
      <c r="L23" s="686"/>
      <c r="M23" s="606"/>
      <c r="N23" s="686"/>
      <c r="O23" s="686"/>
      <c r="P23" s="699"/>
      <c r="Q23" s="699"/>
      <c r="R23" s="699"/>
      <c r="S23" s="699"/>
      <c r="T23" s="707"/>
    </row>
    <row r="24" spans="1:20" hidden="1">
      <c r="A24" s="686" t="s">
        <v>166</v>
      </c>
      <c r="B24" s="690"/>
      <c r="C24" s="694" t="s">
        <v>692</v>
      </c>
      <c r="D24" s="688">
        <f>'[2]总投资-发采购-0411-GLP拆分场外费用(司调)'!G23</f>
        <v>2.847</v>
      </c>
      <c r="E24" s="693"/>
      <c r="F24" s="689">
        <f t="shared" si="0"/>
        <v>0</v>
      </c>
      <c r="G24" s="689">
        <f t="shared" si="1"/>
        <v>2.847</v>
      </c>
      <c r="H24" s="606" t="s">
        <v>543</v>
      </c>
      <c r="I24" s="686"/>
      <c r="J24" s="686"/>
      <c r="K24" s="697" t="s">
        <v>544</v>
      </c>
      <c r="L24" s="686"/>
      <c r="M24" s="606"/>
      <c r="N24" s="686"/>
      <c r="O24" s="686"/>
      <c r="P24" s="699"/>
      <c r="Q24" s="699"/>
      <c r="R24" s="699"/>
      <c r="S24" s="699"/>
      <c r="T24" s="707"/>
    </row>
    <row r="25" spans="1:20" hidden="1">
      <c r="A25" s="686" t="s">
        <v>168</v>
      </c>
      <c r="B25" s="690"/>
      <c r="C25" s="694" t="s">
        <v>693</v>
      </c>
      <c r="D25" s="688">
        <f>'[2]总投资-发采购-0411-GLP拆分场外费用(司调)'!G24</f>
        <v>3.7959999999999998</v>
      </c>
      <c r="E25" s="693"/>
      <c r="F25" s="689">
        <f t="shared" si="0"/>
        <v>0</v>
      </c>
      <c r="G25" s="689">
        <f t="shared" si="1"/>
        <v>3.7959999999999998</v>
      </c>
      <c r="H25" s="606" t="s">
        <v>543</v>
      </c>
      <c r="I25" s="686"/>
      <c r="J25" s="686"/>
      <c r="K25" s="697" t="s">
        <v>544</v>
      </c>
      <c r="L25" s="686"/>
      <c r="M25" s="606"/>
      <c r="N25" s="686"/>
      <c r="O25" s="686"/>
      <c r="P25" s="699"/>
      <c r="Q25" s="699"/>
      <c r="R25" s="699"/>
      <c r="S25" s="699"/>
      <c r="T25" s="707"/>
    </row>
    <row r="26" spans="1:20" hidden="1">
      <c r="A26" s="686" t="s">
        <v>170</v>
      </c>
      <c r="B26" s="690"/>
      <c r="C26" s="694" t="s">
        <v>694</v>
      </c>
      <c r="D26" s="688">
        <f>'[2]总投资-发采购-0411-GLP拆分场外费用(司调)'!G25</f>
        <v>8.5410000000000004</v>
      </c>
      <c r="E26" s="693"/>
      <c r="F26" s="689">
        <f t="shared" si="0"/>
        <v>0</v>
      </c>
      <c r="G26" s="689">
        <f t="shared" si="1"/>
        <v>8.5410000000000004</v>
      </c>
      <c r="H26" s="606" t="s">
        <v>543</v>
      </c>
      <c r="I26" s="686"/>
      <c r="J26" s="686"/>
      <c r="K26" s="697" t="s">
        <v>544</v>
      </c>
      <c r="L26" s="686"/>
      <c r="M26" s="606"/>
      <c r="N26" s="686"/>
      <c r="O26" s="686"/>
      <c r="P26" s="699"/>
      <c r="Q26" s="699"/>
      <c r="R26" s="699"/>
      <c r="S26" s="699"/>
      <c r="T26" s="707"/>
    </row>
    <row r="27" spans="1:20" hidden="1">
      <c r="A27" s="686" t="s">
        <v>172</v>
      </c>
      <c r="B27" s="690"/>
      <c r="C27" s="694" t="s">
        <v>695</v>
      </c>
      <c r="D27" s="688">
        <f>'[2]总投资-发采购-0411-GLP拆分场外费用(司调)'!G26</f>
        <v>5.694</v>
      </c>
      <c r="E27" s="693"/>
      <c r="F27" s="689">
        <f t="shared" si="0"/>
        <v>0</v>
      </c>
      <c r="G27" s="689">
        <f t="shared" si="1"/>
        <v>5.694</v>
      </c>
      <c r="H27" s="606" t="s">
        <v>543</v>
      </c>
      <c r="I27" s="686"/>
      <c r="J27" s="686"/>
      <c r="K27" s="697" t="s">
        <v>544</v>
      </c>
      <c r="L27" s="686"/>
      <c r="M27" s="606"/>
      <c r="N27" s="686"/>
      <c r="O27" s="686"/>
      <c r="P27" s="699"/>
      <c r="Q27" s="699"/>
      <c r="R27" s="699"/>
      <c r="S27" s="699"/>
      <c r="T27" s="707"/>
    </row>
    <row r="28" spans="1:20" hidden="1">
      <c r="A28" s="686" t="s">
        <v>174</v>
      </c>
      <c r="B28" s="691"/>
      <c r="C28" s="692" t="s">
        <v>696</v>
      </c>
      <c r="D28" s="688">
        <f>'[2]总投资-发采购-0411-GLP拆分场外费用(司调)'!G27</f>
        <v>1.9</v>
      </c>
      <c r="E28" s="693"/>
      <c r="F28" s="689">
        <f t="shared" si="0"/>
        <v>0</v>
      </c>
      <c r="G28" s="689">
        <f t="shared" si="1"/>
        <v>1.9</v>
      </c>
      <c r="H28" s="606" t="s">
        <v>543</v>
      </c>
      <c r="I28" s="686"/>
      <c r="J28" s="686"/>
      <c r="K28" s="697" t="s">
        <v>544</v>
      </c>
      <c r="L28" s="686"/>
      <c r="M28" s="606"/>
      <c r="N28" s="686"/>
      <c r="O28" s="686"/>
      <c r="P28" s="699"/>
      <c r="Q28" s="699"/>
      <c r="R28" s="699"/>
      <c r="S28" s="699"/>
      <c r="T28" s="707"/>
    </row>
    <row r="29" spans="1:20" hidden="1">
      <c r="A29" s="686">
        <v>1.4</v>
      </c>
      <c r="B29" s="690"/>
      <c r="C29" s="692" t="s">
        <v>697</v>
      </c>
      <c r="D29" s="688">
        <f>'[2]总投资-发采购-0411-GLP拆分场外费用(司调)'!G28</f>
        <v>463.8</v>
      </c>
      <c r="E29" s="693"/>
      <c r="F29" s="689">
        <f t="shared" si="0"/>
        <v>0</v>
      </c>
      <c r="G29" s="689">
        <f t="shared" si="1"/>
        <v>463.8</v>
      </c>
      <c r="H29" s="606" t="s">
        <v>543</v>
      </c>
      <c r="I29" s="686"/>
      <c r="J29" s="686"/>
      <c r="K29" s="697" t="s">
        <v>544</v>
      </c>
      <c r="L29" s="686"/>
      <c r="M29" s="606"/>
      <c r="N29" s="686"/>
      <c r="O29" s="686"/>
      <c r="P29" s="699"/>
      <c r="Q29" s="699"/>
      <c r="R29" s="699"/>
      <c r="S29" s="699"/>
      <c r="T29" s="707"/>
    </row>
    <row r="30" spans="1:20">
      <c r="A30" s="606" t="s">
        <v>177</v>
      </c>
      <c r="B30" s="564" t="s">
        <v>549</v>
      </c>
      <c r="C30" s="683" t="s">
        <v>550</v>
      </c>
      <c r="D30" s="684">
        <f>'[2]总投资-发采购-0411-GLP拆分场外费用(司调)'!G82</f>
        <v>13277.6976990773</v>
      </c>
      <c r="E30" s="695">
        <f>D30/$A$3</f>
        <v>1867.4680308125596</v>
      </c>
      <c r="F30" s="685">
        <f t="shared" si="0"/>
        <v>1867.4680308125596</v>
      </c>
      <c r="G30" s="685">
        <f t="shared" si="1"/>
        <v>13277.6976990773</v>
      </c>
      <c r="H30" s="606" t="s">
        <v>543</v>
      </c>
      <c r="I30" s="606" t="s">
        <v>30</v>
      </c>
      <c r="J30" s="606">
        <v>18</v>
      </c>
      <c r="K30" s="590" t="s">
        <v>31</v>
      </c>
      <c r="L30" s="606" t="s">
        <v>135</v>
      </c>
      <c r="M30" s="606"/>
      <c r="N30" s="606"/>
      <c r="O30" s="606"/>
      <c r="P30" s="698">
        <v>2025.3</v>
      </c>
      <c r="Q30" s="698">
        <v>2025.4</v>
      </c>
      <c r="R30" s="698" t="s">
        <v>136</v>
      </c>
      <c r="S30" s="698" t="s">
        <v>137</v>
      </c>
      <c r="T30" s="697"/>
    </row>
    <row r="31" spans="1:20" hidden="1">
      <c r="A31" s="686">
        <v>2.8</v>
      </c>
      <c r="B31" s="564" t="s">
        <v>546</v>
      </c>
      <c r="C31" s="696"/>
      <c r="D31" s="688">
        <f>'[2]总投资-发采购-0411-GLP拆分场外费用(司调)'!G82</f>
        <v>13277.6976990773</v>
      </c>
      <c r="E31" s="693">
        <f t="shared" ref="E31:E44" si="2">D31/$A$3</f>
        <v>1867.4680308125596</v>
      </c>
      <c r="F31" s="689">
        <f t="shared" si="0"/>
        <v>1867.4680308125596</v>
      </c>
      <c r="G31" s="689">
        <f t="shared" si="1"/>
        <v>13277.6976990773</v>
      </c>
      <c r="H31" s="606" t="s">
        <v>543</v>
      </c>
      <c r="I31" s="700"/>
      <c r="J31" s="700"/>
      <c r="K31" s="590" t="s">
        <v>544</v>
      </c>
      <c r="L31" s="700"/>
      <c r="M31" s="606"/>
      <c r="N31" s="700"/>
      <c r="O31" s="700"/>
      <c r="P31" s="701"/>
      <c r="Q31" s="701"/>
      <c r="R31" s="701"/>
      <c r="S31" s="701"/>
      <c r="T31" s="708"/>
    </row>
    <row r="32" spans="1:20" hidden="1">
      <c r="A32" s="686" t="s">
        <v>183</v>
      </c>
      <c r="B32" s="564" t="s">
        <v>27</v>
      </c>
      <c r="C32" s="696"/>
      <c r="D32" s="688">
        <f>'[2]总投资-发采购-0411-GLP拆分场外费用(司调)'!G83</f>
        <v>9630.4162214578791</v>
      </c>
      <c r="E32" s="693">
        <f t="shared" si="2"/>
        <v>1354.48892003627</v>
      </c>
      <c r="F32" s="689">
        <f t="shared" si="0"/>
        <v>1354.48892003627</v>
      </c>
      <c r="G32" s="689">
        <f t="shared" si="1"/>
        <v>9630.4162214578791</v>
      </c>
      <c r="H32" s="606" t="s">
        <v>543</v>
      </c>
      <c r="I32" s="700"/>
      <c r="J32" s="700"/>
      <c r="K32" s="590" t="s">
        <v>544</v>
      </c>
      <c r="L32" s="700"/>
      <c r="M32" s="606"/>
      <c r="N32" s="700"/>
      <c r="O32" s="700"/>
      <c r="P32" s="701"/>
      <c r="Q32" s="701"/>
      <c r="R32" s="701"/>
      <c r="S32" s="701"/>
      <c r="T32" s="708"/>
    </row>
    <row r="33" spans="1:20" hidden="1">
      <c r="A33" s="686" t="s">
        <v>184</v>
      </c>
      <c r="B33" s="564" t="s">
        <v>36</v>
      </c>
      <c r="C33" s="696"/>
      <c r="D33" s="688">
        <f>'[2]总投资-发采购-0411-GLP拆分场外费用(司调)'!G84</f>
        <v>32.506880000000002</v>
      </c>
      <c r="E33" s="693">
        <f t="shared" si="2"/>
        <v>4.5719943741209566</v>
      </c>
      <c r="F33" s="689">
        <f t="shared" si="0"/>
        <v>4.5719943741209566</v>
      </c>
      <c r="G33" s="689">
        <f t="shared" si="1"/>
        <v>32.506880000000002</v>
      </c>
      <c r="H33" s="606" t="s">
        <v>543</v>
      </c>
      <c r="I33" s="700"/>
      <c r="J33" s="700"/>
      <c r="K33" s="590" t="s">
        <v>544</v>
      </c>
      <c r="L33" s="700"/>
      <c r="M33" s="606"/>
      <c r="N33" s="700"/>
      <c r="O33" s="700"/>
      <c r="P33" s="701"/>
      <c r="Q33" s="701"/>
      <c r="R33" s="701"/>
      <c r="S33" s="701"/>
      <c r="T33" s="708"/>
    </row>
    <row r="34" spans="1:20" hidden="1">
      <c r="A34" s="686" t="s">
        <v>185</v>
      </c>
      <c r="B34" s="564" t="s">
        <v>551</v>
      </c>
      <c r="C34" s="696"/>
      <c r="D34" s="688">
        <f>'[2]总投资-发采购-0411-GLP拆分场外费用(司调)'!G85</f>
        <v>292.56191999999999</v>
      </c>
      <c r="E34" s="693">
        <f t="shared" si="2"/>
        <v>41.147949367088607</v>
      </c>
      <c r="F34" s="689">
        <f t="shared" si="0"/>
        <v>41.147949367088607</v>
      </c>
      <c r="G34" s="689">
        <f t="shared" si="1"/>
        <v>292.56191999999999</v>
      </c>
      <c r="H34" s="606" t="s">
        <v>543</v>
      </c>
      <c r="I34" s="700"/>
      <c r="J34" s="700"/>
      <c r="K34" s="590" t="s">
        <v>544</v>
      </c>
      <c r="L34" s="700"/>
      <c r="M34" s="606"/>
      <c r="N34" s="700"/>
      <c r="O34" s="700"/>
      <c r="P34" s="701"/>
      <c r="Q34" s="701"/>
      <c r="R34" s="701"/>
      <c r="S34" s="701"/>
      <c r="T34" s="708"/>
    </row>
    <row r="35" spans="1:20" hidden="1">
      <c r="A35" s="686" t="s">
        <v>186</v>
      </c>
      <c r="B35" s="564" t="s">
        <v>552</v>
      </c>
      <c r="C35" s="696"/>
      <c r="D35" s="688">
        <f>'[2]总投资-发采购-0411-GLP拆分场外费用(司调)'!G86</f>
        <v>227.54816</v>
      </c>
      <c r="E35" s="693">
        <f t="shared" si="2"/>
        <v>32.003960618846691</v>
      </c>
      <c r="F35" s="689">
        <f t="shared" si="0"/>
        <v>32.003960618846691</v>
      </c>
      <c r="G35" s="689">
        <f t="shared" si="1"/>
        <v>227.54816</v>
      </c>
      <c r="H35" s="606" t="s">
        <v>543</v>
      </c>
      <c r="I35" s="700"/>
      <c r="J35" s="700"/>
      <c r="K35" s="590" t="s">
        <v>544</v>
      </c>
      <c r="L35" s="700"/>
      <c r="M35" s="606"/>
      <c r="N35" s="700"/>
      <c r="O35" s="700"/>
      <c r="P35" s="701"/>
      <c r="Q35" s="701"/>
      <c r="R35" s="701"/>
      <c r="S35" s="701"/>
      <c r="T35" s="708"/>
    </row>
    <row r="36" spans="1:20" hidden="1">
      <c r="A36" s="686" t="s">
        <v>187</v>
      </c>
      <c r="B36" s="564" t="s">
        <v>553</v>
      </c>
      <c r="C36" s="696"/>
      <c r="D36" s="688">
        <f>'[2]总投资-发采购-0411-GLP拆分场外费用(司调)'!G87</f>
        <v>503.85664000000003</v>
      </c>
      <c r="E36" s="693">
        <f t="shared" si="2"/>
        <v>70.865912798874831</v>
      </c>
      <c r="F36" s="689">
        <f t="shared" si="0"/>
        <v>70.865912798874831</v>
      </c>
      <c r="G36" s="689">
        <f t="shared" si="1"/>
        <v>503.85664000000003</v>
      </c>
      <c r="H36" s="606" t="s">
        <v>543</v>
      </c>
      <c r="I36" s="700"/>
      <c r="J36" s="700"/>
      <c r="K36" s="590" t="s">
        <v>544</v>
      </c>
      <c r="L36" s="700"/>
      <c r="M36" s="606"/>
      <c r="N36" s="700"/>
      <c r="O36" s="700"/>
      <c r="P36" s="701"/>
      <c r="Q36" s="701"/>
      <c r="R36" s="701"/>
      <c r="S36" s="701"/>
      <c r="T36" s="708"/>
    </row>
    <row r="37" spans="1:20" hidden="1">
      <c r="A37" s="686" t="s">
        <v>188</v>
      </c>
      <c r="B37" s="564" t="s">
        <v>554</v>
      </c>
      <c r="C37" s="696"/>
      <c r="D37" s="688">
        <f>'[2]总投资-发采购-0411-GLP拆分场外费用(司调)'!G88</f>
        <v>138.84473776528901</v>
      </c>
      <c r="E37" s="693">
        <f t="shared" si="2"/>
        <v>19.528092512698876</v>
      </c>
      <c r="F37" s="689">
        <f t="shared" si="0"/>
        <v>19.528092512698876</v>
      </c>
      <c r="G37" s="689">
        <f t="shared" si="1"/>
        <v>138.84473776528901</v>
      </c>
      <c r="H37" s="606" t="s">
        <v>543</v>
      </c>
      <c r="I37" s="700"/>
      <c r="J37" s="700"/>
      <c r="K37" s="590" t="s">
        <v>544</v>
      </c>
      <c r="L37" s="700"/>
      <c r="M37" s="606"/>
      <c r="N37" s="700"/>
      <c r="O37" s="700"/>
      <c r="P37" s="701"/>
      <c r="Q37" s="701"/>
      <c r="R37" s="701"/>
      <c r="S37" s="701"/>
      <c r="T37" s="708"/>
    </row>
    <row r="38" spans="1:20" hidden="1">
      <c r="A38" s="686" t="s">
        <v>189</v>
      </c>
      <c r="B38" s="564" t="s">
        <v>555</v>
      </c>
      <c r="C38" s="696"/>
      <c r="D38" s="688">
        <f>'[2]总投资-发采购-0411-GLP拆分场外费用(司调)'!G89</f>
        <v>507.92</v>
      </c>
      <c r="E38" s="693">
        <f t="shared" si="2"/>
        <v>71.437412095639942</v>
      </c>
      <c r="F38" s="689">
        <f t="shared" si="0"/>
        <v>71.437412095639942</v>
      </c>
      <c r="G38" s="689">
        <f t="shared" si="1"/>
        <v>507.92</v>
      </c>
      <c r="H38" s="606" t="s">
        <v>543</v>
      </c>
      <c r="I38" s="700"/>
      <c r="J38" s="700"/>
      <c r="K38" s="590" t="s">
        <v>544</v>
      </c>
      <c r="L38" s="700"/>
      <c r="M38" s="606"/>
      <c r="N38" s="700"/>
      <c r="O38" s="700"/>
      <c r="P38" s="701"/>
      <c r="Q38" s="701"/>
      <c r="R38" s="701"/>
      <c r="S38" s="701"/>
      <c r="T38" s="708"/>
    </row>
    <row r="39" spans="1:20" hidden="1">
      <c r="A39" s="686"/>
      <c r="B39" s="564" t="s">
        <v>556</v>
      </c>
      <c r="C39" s="696"/>
      <c r="D39" s="688">
        <f>'[2]总投资-发采购-0411-GLP拆分场外费用(司调)'!G90</f>
        <v>1881.04313985413</v>
      </c>
      <c r="E39" s="693">
        <f t="shared" si="2"/>
        <v>264.56302951534877</v>
      </c>
      <c r="F39" s="689">
        <f t="shared" si="0"/>
        <v>264.56302951534877</v>
      </c>
      <c r="G39" s="689">
        <f t="shared" si="1"/>
        <v>1881.04313985413</v>
      </c>
      <c r="H39" s="606" t="s">
        <v>543</v>
      </c>
      <c r="I39" s="700"/>
      <c r="J39" s="700"/>
      <c r="K39" s="590" t="s">
        <v>544</v>
      </c>
      <c r="L39" s="700"/>
      <c r="M39" s="606"/>
      <c r="N39" s="700"/>
      <c r="O39" s="700"/>
      <c r="P39" s="701"/>
      <c r="Q39" s="701"/>
      <c r="R39" s="701"/>
      <c r="S39" s="701"/>
      <c r="T39" s="708"/>
    </row>
    <row r="40" spans="1:20" hidden="1">
      <c r="A40" s="686" t="s">
        <v>190</v>
      </c>
      <c r="B40" s="564" t="s">
        <v>557</v>
      </c>
      <c r="C40" s="696"/>
      <c r="D40" s="688">
        <f>'[2]总投资-发采购-0411-GLP拆分场外费用(司调)'!G91</f>
        <v>63</v>
      </c>
      <c r="E40" s="693">
        <f t="shared" si="2"/>
        <v>8.8607594936708853</v>
      </c>
      <c r="F40" s="689">
        <f t="shared" si="0"/>
        <v>8.8607594936708853</v>
      </c>
      <c r="G40" s="689">
        <f t="shared" si="1"/>
        <v>63</v>
      </c>
      <c r="H40" s="606" t="s">
        <v>543</v>
      </c>
      <c r="I40" s="700"/>
      <c r="J40" s="700"/>
      <c r="K40" s="590" t="s">
        <v>544</v>
      </c>
      <c r="L40" s="700"/>
      <c r="M40" s="606"/>
      <c r="N40" s="700"/>
      <c r="O40" s="700"/>
      <c r="P40" s="701"/>
      <c r="Q40" s="701"/>
      <c r="R40" s="701"/>
      <c r="S40" s="701"/>
      <c r="T40" s="708"/>
    </row>
    <row r="41" spans="1:20" hidden="1">
      <c r="A41" s="686"/>
      <c r="B41" s="564" t="s">
        <v>558</v>
      </c>
      <c r="C41" s="696"/>
      <c r="D41" s="688">
        <f>'[2]总投资-发采购-0411-GLP拆分场外费用(司调)'!G92</f>
        <v>1</v>
      </c>
      <c r="E41" s="693">
        <f t="shared" si="2"/>
        <v>0.14064697609001406</v>
      </c>
      <c r="F41" s="689">
        <f t="shared" si="0"/>
        <v>0.14064697609001406</v>
      </c>
      <c r="G41" s="689">
        <f t="shared" si="1"/>
        <v>1</v>
      </c>
      <c r="H41" s="606" t="s">
        <v>543</v>
      </c>
      <c r="I41" s="700"/>
      <c r="J41" s="700"/>
      <c r="K41" s="590" t="s">
        <v>544</v>
      </c>
      <c r="L41" s="700"/>
      <c r="M41" s="606"/>
      <c r="N41" s="700"/>
      <c r="O41" s="700"/>
      <c r="P41" s="701"/>
      <c r="Q41" s="701"/>
      <c r="R41" s="701"/>
      <c r="S41" s="701"/>
      <c r="T41" s="708"/>
    </row>
    <row r="42" spans="1:20" hidden="1">
      <c r="A42" s="686"/>
      <c r="B42" s="564" t="s">
        <v>559</v>
      </c>
      <c r="C42" s="696"/>
      <c r="D42" s="688">
        <f>'[2]总投资-发采购-0411-GLP拆分场外费用(司调)'!G93</f>
        <v>11</v>
      </c>
      <c r="E42" s="693">
        <f t="shared" si="2"/>
        <v>1.5471167369901546</v>
      </c>
      <c r="F42" s="689">
        <f t="shared" si="0"/>
        <v>1.5471167369901546</v>
      </c>
      <c r="G42" s="689">
        <f t="shared" si="1"/>
        <v>11</v>
      </c>
      <c r="H42" s="606" t="s">
        <v>543</v>
      </c>
      <c r="I42" s="700"/>
      <c r="J42" s="700"/>
      <c r="K42" s="590" t="s">
        <v>544</v>
      </c>
      <c r="L42" s="700"/>
      <c r="M42" s="606"/>
      <c r="N42" s="700"/>
      <c r="O42" s="700"/>
      <c r="P42" s="701"/>
      <c r="Q42" s="701"/>
      <c r="R42" s="701"/>
      <c r="S42" s="701"/>
      <c r="T42" s="708"/>
    </row>
    <row r="43" spans="1:20" hidden="1">
      <c r="A43" s="686"/>
      <c r="B43" s="564" t="s">
        <v>560</v>
      </c>
      <c r="C43" s="696"/>
      <c r="D43" s="688">
        <f>'[2]总投资-发采购-0411-GLP拆分场外费用(司调)'!G94</f>
        <v>51</v>
      </c>
      <c r="E43" s="693">
        <f t="shared" si="2"/>
        <v>7.1729957805907167</v>
      </c>
      <c r="F43" s="689">
        <f t="shared" si="0"/>
        <v>7.1729957805907167</v>
      </c>
      <c r="G43" s="689">
        <f t="shared" si="1"/>
        <v>51</v>
      </c>
      <c r="H43" s="606" t="s">
        <v>543</v>
      </c>
      <c r="I43" s="700"/>
      <c r="J43" s="700"/>
      <c r="K43" s="590" t="s">
        <v>544</v>
      </c>
      <c r="L43" s="700"/>
      <c r="M43" s="606"/>
      <c r="N43" s="700"/>
      <c r="O43" s="700"/>
      <c r="P43" s="701"/>
      <c r="Q43" s="701"/>
      <c r="R43" s="701"/>
      <c r="S43" s="701"/>
      <c r="T43" s="708"/>
    </row>
    <row r="44" spans="1:20" ht="26.4">
      <c r="A44" s="606" t="s">
        <v>26</v>
      </c>
      <c r="B44" s="564" t="s">
        <v>561</v>
      </c>
      <c r="C44" s="683" t="s">
        <v>562</v>
      </c>
      <c r="D44" s="684">
        <f>SUM('[2]总投资-发采购-0411-GLP拆分场外费用(司调)'!G173,'[2]总投资-发采购-0411-GLP拆分场外费用(司调)'!G186,'[2]总投资-发采购-0411-GLP拆分场外费用(司调)'!G202)</f>
        <v>25772.963395329403</v>
      </c>
      <c r="E44" s="695">
        <f t="shared" si="2"/>
        <v>3624.889366431702</v>
      </c>
      <c r="F44" s="685">
        <f t="shared" si="0"/>
        <v>3624.889366431702</v>
      </c>
      <c r="G44" s="685">
        <f t="shared" si="1"/>
        <v>25772.963395329403</v>
      </c>
      <c r="H44" s="606" t="s">
        <v>543</v>
      </c>
      <c r="I44" s="606" t="s">
        <v>30</v>
      </c>
      <c r="J44" s="606">
        <v>18</v>
      </c>
      <c r="K44" s="590" t="s">
        <v>31</v>
      </c>
      <c r="L44" s="606" t="s">
        <v>135</v>
      </c>
      <c r="M44" s="606"/>
      <c r="N44" s="606"/>
      <c r="O44" s="606"/>
      <c r="P44" s="698">
        <v>2025.3</v>
      </c>
      <c r="Q44" s="698">
        <v>2025.4</v>
      </c>
      <c r="R44" s="698" t="s">
        <v>136</v>
      </c>
      <c r="S44" s="698">
        <v>2026.12</v>
      </c>
      <c r="T44" s="697"/>
    </row>
    <row r="45" spans="1:20" hidden="1">
      <c r="A45" s="686">
        <v>2.15</v>
      </c>
      <c r="B45" s="564" t="s">
        <v>563</v>
      </c>
      <c r="C45" s="687"/>
      <c r="D45" s="688">
        <f>'[2]总投资-发采购-0411-GLP拆分场外费用(司调)'!G173</f>
        <v>11277.360138763701</v>
      </c>
      <c r="E45" s="693">
        <f t="shared" ref="E45:E71" si="3">D45/$A$3</f>
        <v>1586.1266017951759</v>
      </c>
      <c r="F45" s="689">
        <f t="shared" si="0"/>
        <v>1586.1266017951759</v>
      </c>
      <c r="G45" s="689">
        <f t="shared" si="1"/>
        <v>11277.360138763701</v>
      </c>
      <c r="H45" s="606" t="s">
        <v>543</v>
      </c>
      <c r="I45" s="686" t="s">
        <v>30</v>
      </c>
      <c r="J45" s="686" t="s">
        <v>705</v>
      </c>
      <c r="K45" s="697" t="s">
        <v>544</v>
      </c>
      <c r="L45" s="686" t="s">
        <v>707</v>
      </c>
      <c r="M45" s="606"/>
      <c r="N45" s="686"/>
      <c r="O45" s="686"/>
      <c r="P45" s="699">
        <v>2025.3</v>
      </c>
      <c r="Q45" s="699">
        <v>2025.4</v>
      </c>
      <c r="R45" s="699" t="s">
        <v>136</v>
      </c>
      <c r="S45" s="699">
        <v>2026.12</v>
      </c>
      <c r="T45" s="707"/>
    </row>
    <row r="46" spans="1:20" hidden="1">
      <c r="A46" s="686" t="s">
        <v>198</v>
      </c>
      <c r="B46" s="564" t="s">
        <v>564</v>
      </c>
      <c r="C46" s="687"/>
      <c r="D46" s="688">
        <f>'[2]总投资-发采购-0411-GLP拆分场外费用(司调)'!G174</f>
        <v>8671.0150149573092</v>
      </c>
      <c r="E46" s="693">
        <f t="shared" si="3"/>
        <v>1219.5520414848536</v>
      </c>
      <c r="F46" s="689">
        <f t="shared" si="0"/>
        <v>1219.5520414848536</v>
      </c>
      <c r="G46" s="689">
        <f t="shared" si="1"/>
        <v>8671.0150149573092</v>
      </c>
      <c r="H46" s="606" t="s">
        <v>543</v>
      </c>
      <c r="I46" s="686" t="s">
        <v>30</v>
      </c>
      <c r="J46" s="686" t="s">
        <v>705</v>
      </c>
      <c r="K46" s="697" t="s">
        <v>544</v>
      </c>
      <c r="L46" s="686" t="s">
        <v>707</v>
      </c>
      <c r="M46" s="606"/>
      <c r="N46" s="686"/>
      <c r="O46" s="686"/>
      <c r="P46" s="699">
        <v>2025.3</v>
      </c>
      <c r="Q46" s="699">
        <v>2025.4</v>
      </c>
      <c r="R46" s="699" t="s">
        <v>136</v>
      </c>
      <c r="S46" s="699">
        <v>2026.12</v>
      </c>
      <c r="T46" s="707"/>
    </row>
    <row r="47" spans="1:20" hidden="1">
      <c r="A47" s="686" t="s">
        <v>199</v>
      </c>
      <c r="B47" s="564" t="s">
        <v>565</v>
      </c>
      <c r="C47" s="687"/>
      <c r="D47" s="688">
        <f>'[2]总投资-发采购-0411-GLP拆分场外费用(司调)'!G175</f>
        <v>29.26848</v>
      </c>
      <c r="E47" s="693">
        <f t="shared" si="3"/>
        <v>4.1165232067510544</v>
      </c>
      <c r="F47" s="689">
        <f t="shared" si="0"/>
        <v>4.1165232067510544</v>
      </c>
      <c r="G47" s="689">
        <f t="shared" si="1"/>
        <v>29.26848</v>
      </c>
      <c r="H47" s="606" t="s">
        <v>543</v>
      </c>
      <c r="I47" s="686" t="s">
        <v>30</v>
      </c>
      <c r="J47" s="686" t="s">
        <v>705</v>
      </c>
      <c r="K47" s="697" t="s">
        <v>544</v>
      </c>
      <c r="L47" s="686" t="s">
        <v>707</v>
      </c>
      <c r="M47" s="606"/>
      <c r="N47" s="686"/>
      <c r="O47" s="686"/>
      <c r="P47" s="699">
        <v>2025.3</v>
      </c>
      <c r="Q47" s="699">
        <v>2025.4</v>
      </c>
      <c r="R47" s="699" t="s">
        <v>136</v>
      </c>
      <c r="S47" s="699">
        <v>2026.12</v>
      </c>
      <c r="T47" s="707"/>
    </row>
    <row r="48" spans="1:20" hidden="1">
      <c r="A48" s="686" t="s">
        <v>200</v>
      </c>
      <c r="B48" s="564" t="s">
        <v>566</v>
      </c>
      <c r="C48" s="687"/>
      <c r="D48" s="688">
        <f>'[2]总投资-发采购-0411-GLP拆分场外费用(司调)'!G176</f>
        <v>263.41631999999998</v>
      </c>
      <c r="E48" s="693">
        <f t="shared" si="3"/>
        <v>37.04870886075949</v>
      </c>
      <c r="F48" s="689">
        <f t="shared" si="0"/>
        <v>37.04870886075949</v>
      </c>
      <c r="G48" s="689">
        <f t="shared" si="1"/>
        <v>263.41631999999998</v>
      </c>
      <c r="H48" s="606" t="s">
        <v>543</v>
      </c>
      <c r="I48" s="686" t="s">
        <v>30</v>
      </c>
      <c r="J48" s="686" t="s">
        <v>705</v>
      </c>
      <c r="K48" s="697" t="s">
        <v>544</v>
      </c>
      <c r="L48" s="686" t="s">
        <v>707</v>
      </c>
      <c r="M48" s="606"/>
      <c r="N48" s="686"/>
      <c r="O48" s="686"/>
      <c r="P48" s="699">
        <v>2025.3</v>
      </c>
      <c r="Q48" s="699">
        <v>2025.4</v>
      </c>
      <c r="R48" s="699" t="s">
        <v>136</v>
      </c>
      <c r="S48" s="699">
        <v>2026.12</v>
      </c>
      <c r="T48" s="707"/>
    </row>
    <row r="49" spans="1:20" hidden="1">
      <c r="A49" s="686" t="s">
        <v>201</v>
      </c>
      <c r="B49" s="564" t="s">
        <v>567</v>
      </c>
      <c r="C49" s="687"/>
      <c r="D49" s="688">
        <f>'[2]总投资-发采购-0411-GLP拆分场外费用(司调)'!G177</f>
        <v>204.87935999999999</v>
      </c>
      <c r="E49" s="693">
        <f t="shared" si="3"/>
        <v>28.815662447257381</v>
      </c>
      <c r="F49" s="689">
        <f t="shared" si="0"/>
        <v>28.815662447257381</v>
      </c>
      <c r="G49" s="689">
        <f t="shared" si="1"/>
        <v>204.87935999999999</v>
      </c>
      <c r="H49" s="606" t="s">
        <v>543</v>
      </c>
      <c r="I49" s="686" t="s">
        <v>30</v>
      </c>
      <c r="J49" s="686" t="s">
        <v>705</v>
      </c>
      <c r="K49" s="697" t="s">
        <v>544</v>
      </c>
      <c r="L49" s="686" t="s">
        <v>707</v>
      </c>
      <c r="M49" s="606"/>
      <c r="N49" s="686"/>
      <c r="O49" s="686"/>
      <c r="P49" s="699">
        <v>2025.3</v>
      </c>
      <c r="Q49" s="699">
        <v>2025.4</v>
      </c>
      <c r="R49" s="699" t="s">
        <v>136</v>
      </c>
      <c r="S49" s="699">
        <v>2026.12</v>
      </c>
      <c r="T49" s="707"/>
    </row>
    <row r="50" spans="1:20" hidden="1">
      <c r="A50" s="686" t="s">
        <v>202</v>
      </c>
      <c r="B50" s="564" t="s">
        <v>568</v>
      </c>
      <c r="C50" s="687"/>
      <c r="D50" s="688">
        <f>'[2]总投资-发采购-0411-GLP拆分场外费用(司调)'!G178</f>
        <v>453.66144000000003</v>
      </c>
      <c r="E50" s="693">
        <f t="shared" si="3"/>
        <v>63.806109704641351</v>
      </c>
      <c r="F50" s="689">
        <f t="shared" si="0"/>
        <v>63.806109704641351</v>
      </c>
      <c r="G50" s="689">
        <f t="shared" si="1"/>
        <v>453.66144000000003</v>
      </c>
      <c r="H50" s="606" t="s">
        <v>543</v>
      </c>
      <c r="I50" s="686" t="s">
        <v>30</v>
      </c>
      <c r="J50" s="686" t="s">
        <v>705</v>
      </c>
      <c r="K50" s="697" t="s">
        <v>544</v>
      </c>
      <c r="L50" s="686" t="s">
        <v>707</v>
      </c>
      <c r="M50" s="606"/>
      <c r="N50" s="686"/>
      <c r="O50" s="686"/>
      <c r="P50" s="699">
        <v>2025.3</v>
      </c>
      <c r="Q50" s="699">
        <v>2025.4</v>
      </c>
      <c r="R50" s="699" t="s">
        <v>136</v>
      </c>
      <c r="S50" s="699">
        <v>2026.12</v>
      </c>
      <c r="T50" s="707"/>
    </row>
    <row r="51" spans="1:20" hidden="1">
      <c r="A51" s="686" t="s">
        <v>203</v>
      </c>
      <c r="B51" s="564" t="s">
        <v>569</v>
      </c>
      <c r="C51" s="687"/>
      <c r="D51" s="688">
        <f>'[2]总投资-发采购-0411-GLP拆分场外费用(司调)'!G179</f>
        <v>125.01274900539801</v>
      </c>
      <c r="E51" s="693">
        <f t="shared" si="3"/>
        <v>17.582665120309141</v>
      </c>
      <c r="F51" s="689">
        <f t="shared" si="0"/>
        <v>17.582665120309141</v>
      </c>
      <c r="G51" s="689">
        <f t="shared" si="1"/>
        <v>125.01274900539801</v>
      </c>
      <c r="H51" s="606" t="s">
        <v>543</v>
      </c>
      <c r="I51" s="686" t="s">
        <v>30</v>
      </c>
      <c r="J51" s="686" t="s">
        <v>705</v>
      </c>
      <c r="K51" s="697" t="s">
        <v>544</v>
      </c>
      <c r="L51" s="686" t="s">
        <v>707</v>
      </c>
      <c r="M51" s="606"/>
      <c r="N51" s="686"/>
      <c r="O51" s="686"/>
      <c r="P51" s="699">
        <v>2025.3</v>
      </c>
      <c r="Q51" s="699">
        <v>2025.4</v>
      </c>
      <c r="R51" s="699" t="s">
        <v>136</v>
      </c>
      <c r="S51" s="699">
        <v>2026.12</v>
      </c>
      <c r="T51" s="707"/>
    </row>
    <row r="52" spans="1:20" hidden="1">
      <c r="A52" s="686" t="s">
        <v>204</v>
      </c>
      <c r="B52" s="564" t="s">
        <v>570</v>
      </c>
      <c r="C52" s="687"/>
      <c r="D52" s="688">
        <f>'[2]总投资-发采购-0411-GLP拆分场外费用(司调)'!G180</f>
        <v>457.32</v>
      </c>
      <c r="E52" s="693">
        <f t="shared" si="3"/>
        <v>64.320675105485222</v>
      </c>
      <c r="F52" s="689">
        <f t="shared" si="0"/>
        <v>64.320675105485222</v>
      </c>
      <c r="G52" s="689">
        <f t="shared" si="1"/>
        <v>457.32</v>
      </c>
      <c r="H52" s="606" t="s">
        <v>543</v>
      </c>
      <c r="I52" s="686" t="s">
        <v>30</v>
      </c>
      <c r="J52" s="686" t="s">
        <v>705</v>
      </c>
      <c r="K52" s="697" t="s">
        <v>544</v>
      </c>
      <c r="L52" s="686" t="s">
        <v>707</v>
      </c>
      <c r="M52" s="606"/>
      <c r="N52" s="686"/>
      <c r="O52" s="686"/>
      <c r="P52" s="699">
        <v>2025.3</v>
      </c>
      <c r="Q52" s="699">
        <v>2025.4</v>
      </c>
      <c r="R52" s="699" t="s">
        <v>136</v>
      </c>
      <c r="S52" s="699">
        <v>2026.12</v>
      </c>
      <c r="T52" s="707"/>
    </row>
    <row r="53" spans="1:20" hidden="1">
      <c r="A53" s="686"/>
      <c r="B53" s="564" t="s">
        <v>571</v>
      </c>
      <c r="C53" s="687"/>
      <c r="D53" s="688">
        <f>'[2]总投资-发采购-0411-GLP拆分场外费用(司调)'!G181</f>
        <v>1015.78677480099</v>
      </c>
      <c r="E53" s="693">
        <f t="shared" si="3"/>
        <v>142.86733822798732</v>
      </c>
      <c r="F53" s="689">
        <f t="shared" si="0"/>
        <v>142.86733822798732</v>
      </c>
      <c r="G53" s="689">
        <f t="shared" si="1"/>
        <v>1015.78677480099</v>
      </c>
      <c r="H53" s="606" t="s">
        <v>543</v>
      </c>
      <c r="I53" s="686"/>
      <c r="J53" s="686"/>
      <c r="K53" s="697" t="s">
        <v>544</v>
      </c>
      <c r="L53" s="686"/>
      <c r="M53" s="606"/>
      <c r="N53" s="686"/>
      <c r="O53" s="686"/>
      <c r="P53" s="699"/>
      <c r="Q53" s="699"/>
      <c r="R53" s="699"/>
      <c r="S53" s="699"/>
      <c r="T53" s="707"/>
    </row>
    <row r="54" spans="1:20" hidden="1">
      <c r="A54" s="686" t="s">
        <v>206</v>
      </c>
      <c r="B54" s="564" t="s">
        <v>572</v>
      </c>
      <c r="C54" s="687"/>
      <c r="D54" s="688">
        <f>'[2]总投资-发采购-0411-GLP拆分场外费用(司调)'!G182</f>
        <v>57</v>
      </c>
      <c r="E54" s="693">
        <f t="shared" si="3"/>
        <v>8.0168776371308006</v>
      </c>
      <c r="F54" s="689">
        <f t="shared" si="0"/>
        <v>8.0168776371308006</v>
      </c>
      <c r="G54" s="689">
        <f t="shared" si="1"/>
        <v>57</v>
      </c>
      <c r="H54" s="606" t="s">
        <v>543</v>
      </c>
      <c r="I54" s="686" t="s">
        <v>30</v>
      </c>
      <c r="J54" s="686" t="s">
        <v>705</v>
      </c>
      <c r="K54" s="697" t="s">
        <v>544</v>
      </c>
      <c r="L54" s="686" t="s">
        <v>707</v>
      </c>
      <c r="M54" s="606"/>
      <c r="N54" s="686"/>
      <c r="O54" s="686"/>
      <c r="P54" s="699">
        <v>2025.3</v>
      </c>
      <c r="Q54" s="699">
        <v>2025.4</v>
      </c>
      <c r="R54" s="699" t="s">
        <v>136</v>
      </c>
      <c r="S54" s="699">
        <v>2026.12</v>
      </c>
      <c r="T54" s="707"/>
    </row>
    <row r="55" spans="1:20" hidden="1">
      <c r="A55" s="686"/>
      <c r="B55" s="564" t="s">
        <v>573</v>
      </c>
      <c r="C55" s="687"/>
      <c r="D55" s="688">
        <f>'[2]总投资-发采购-0411-GLP拆分场外费用(司调)'!G183</f>
        <v>1</v>
      </c>
      <c r="E55" s="693">
        <f t="shared" si="3"/>
        <v>0.14064697609001406</v>
      </c>
      <c r="F55" s="689">
        <f t="shared" si="0"/>
        <v>0.14064697609001406</v>
      </c>
      <c r="G55" s="689">
        <f t="shared" si="1"/>
        <v>1</v>
      </c>
      <c r="H55" s="606" t="s">
        <v>543</v>
      </c>
      <c r="I55" s="686" t="s">
        <v>30</v>
      </c>
      <c r="J55" s="686" t="s">
        <v>705</v>
      </c>
      <c r="K55" s="697" t="s">
        <v>544</v>
      </c>
      <c r="L55" s="686" t="s">
        <v>707</v>
      </c>
      <c r="M55" s="606"/>
      <c r="N55" s="686"/>
      <c r="O55" s="686"/>
      <c r="P55" s="699">
        <v>2025.3</v>
      </c>
      <c r="Q55" s="699">
        <v>2025.4</v>
      </c>
      <c r="R55" s="699" t="s">
        <v>136</v>
      </c>
      <c r="S55" s="699">
        <v>2026.12</v>
      </c>
      <c r="T55" s="707"/>
    </row>
    <row r="56" spans="1:20" hidden="1">
      <c r="A56" s="686"/>
      <c r="B56" s="564" t="s">
        <v>574</v>
      </c>
      <c r="C56" s="687"/>
      <c r="D56" s="688">
        <f>'[2]总投资-发采购-0411-GLP拆分场外费用(司调)'!G184</f>
        <v>9</v>
      </c>
      <c r="E56" s="693">
        <f t="shared" si="3"/>
        <v>1.2658227848101264</v>
      </c>
      <c r="F56" s="689">
        <f t="shared" si="0"/>
        <v>1.2658227848101264</v>
      </c>
      <c r="G56" s="689">
        <f t="shared" si="1"/>
        <v>9</v>
      </c>
      <c r="H56" s="606" t="s">
        <v>543</v>
      </c>
      <c r="I56" s="686" t="s">
        <v>30</v>
      </c>
      <c r="J56" s="686" t="s">
        <v>705</v>
      </c>
      <c r="K56" s="697" t="s">
        <v>544</v>
      </c>
      <c r="L56" s="686" t="s">
        <v>707</v>
      </c>
      <c r="M56" s="606"/>
      <c r="N56" s="686"/>
      <c r="O56" s="686"/>
      <c r="P56" s="699">
        <v>2025.3</v>
      </c>
      <c r="Q56" s="699">
        <v>2025.4</v>
      </c>
      <c r="R56" s="699" t="s">
        <v>136</v>
      </c>
      <c r="S56" s="699">
        <v>2026.12</v>
      </c>
      <c r="T56" s="707"/>
    </row>
    <row r="57" spans="1:20" hidden="1">
      <c r="A57" s="686"/>
      <c r="B57" s="564" t="s">
        <v>575</v>
      </c>
      <c r="C57" s="687"/>
      <c r="D57" s="688">
        <f>'[2]总投资-发采购-0411-GLP拆分场外费用(司调)'!G185</f>
        <v>47</v>
      </c>
      <c r="E57" s="693">
        <f t="shared" si="3"/>
        <v>6.6104078762306608</v>
      </c>
      <c r="F57" s="689">
        <f t="shared" si="0"/>
        <v>6.6104078762306608</v>
      </c>
      <c r="G57" s="689">
        <f t="shared" si="1"/>
        <v>47</v>
      </c>
      <c r="H57" s="606" t="s">
        <v>543</v>
      </c>
      <c r="I57" s="686" t="s">
        <v>30</v>
      </c>
      <c r="J57" s="686" t="s">
        <v>705</v>
      </c>
      <c r="K57" s="697" t="s">
        <v>544</v>
      </c>
      <c r="L57" s="686" t="s">
        <v>707</v>
      </c>
      <c r="M57" s="606"/>
      <c r="N57" s="686"/>
      <c r="O57" s="686"/>
      <c r="P57" s="699">
        <v>2025.3</v>
      </c>
      <c r="Q57" s="699">
        <v>2025.4</v>
      </c>
      <c r="R57" s="699" t="s">
        <v>136</v>
      </c>
      <c r="S57" s="699">
        <v>2026.12</v>
      </c>
      <c r="T57" s="707"/>
    </row>
    <row r="58" spans="1:20" hidden="1">
      <c r="A58" s="686">
        <v>2.16</v>
      </c>
      <c r="B58" s="564" t="s">
        <v>576</v>
      </c>
      <c r="C58" s="687"/>
      <c r="D58" s="688">
        <f>'[2]总投资-发采购-0411-GLP拆分场外费用(司调)'!G173</f>
        <v>11277.360138763701</v>
      </c>
      <c r="E58" s="693">
        <f t="shared" si="3"/>
        <v>1586.1266017951759</v>
      </c>
      <c r="F58" s="689">
        <f t="shared" si="0"/>
        <v>1586.1266017951759</v>
      </c>
      <c r="G58" s="689">
        <f t="shared" si="1"/>
        <v>11277.360138763701</v>
      </c>
      <c r="H58" s="606" t="s">
        <v>543</v>
      </c>
      <c r="I58" s="686" t="s">
        <v>30</v>
      </c>
      <c r="J58" s="686" t="s">
        <v>705</v>
      </c>
      <c r="K58" s="697" t="s">
        <v>544</v>
      </c>
      <c r="L58" s="686" t="s">
        <v>707</v>
      </c>
      <c r="M58" s="606"/>
      <c r="N58" s="686"/>
      <c r="O58" s="686"/>
      <c r="P58" s="699">
        <v>2025.3</v>
      </c>
      <c r="Q58" s="699">
        <v>2025.4</v>
      </c>
      <c r="R58" s="699" t="s">
        <v>136</v>
      </c>
      <c r="S58" s="699">
        <v>2026.12</v>
      </c>
      <c r="T58" s="707"/>
    </row>
    <row r="59" spans="1:20" hidden="1">
      <c r="A59" s="686" t="s">
        <v>208</v>
      </c>
      <c r="B59" s="564" t="s">
        <v>577</v>
      </c>
      <c r="C59" s="687"/>
      <c r="D59" s="688">
        <f>'[2]总投资-发采购-0411-GLP拆分场外费用(司调)'!G174</f>
        <v>8671.0150149573092</v>
      </c>
      <c r="E59" s="693">
        <f t="shared" si="3"/>
        <v>1219.5520414848536</v>
      </c>
      <c r="F59" s="689">
        <f t="shared" si="0"/>
        <v>1219.5520414848536</v>
      </c>
      <c r="G59" s="689">
        <f t="shared" si="1"/>
        <v>8671.0150149573092</v>
      </c>
      <c r="H59" s="606" t="s">
        <v>543</v>
      </c>
      <c r="I59" s="686" t="s">
        <v>30</v>
      </c>
      <c r="J59" s="686" t="s">
        <v>705</v>
      </c>
      <c r="K59" s="697" t="s">
        <v>544</v>
      </c>
      <c r="L59" s="686" t="s">
        <v>707</v>
      </c>
      <c r="M59" s="606"/>
      <c r="N59" s="686"/>
      <c r="O59" s="686"/>
      <c r="P59" s="699">
        <v>2025.3</v>
      </c>
      <c r="Q59" s="699">
        <v>2025.4</v>
      </c>
      <c r="R59" s="699" t="s">
        <v>136</v>
      </c>
      <c r="S59" s="699">
        <v>2026.12</v>
      </c>
      <c r="T59" s="707"/>
    </row>
    <row r="60" spans="1:20" hidden="1">
      <c r="A60" s="686" t="s">
        <v>209</v>
      </c>
      <c r="B60" s="564" t="s">
        <v>578</v>
      </c>
      <c r="C60" s="687"/>
      <c r="D60" s="688">
        <f>'[2]总投资-发采购-0411-GLP拆分场外费用(司调)'!G175</f>
        <v>29.26848</v>
      </c>
      <c r="E60" s="693">
        <f t="shared" si="3"/>
        <v>4.1165232067510544</v>
      </c>
      <c r="F60" s="689">
        <f t="shared" si="0"/>
        <v>4.1165232067510544</v>
      </c>
      <c r="G60" s="689">
        <f t="shared" si="1"/>
        <v>29.26848</v>
      </c>
      <c r="H60" s="606" t="s">
        <v>543</v>
      </c>
      <c r="I60" s="686" t="s">
        <v>30</v>
      </c>
      <c r="J60" s="686" t="s">
        <v>705</v>
      </c>
      <c r="K60" s="697" t="s">
        <v>544</v>
      </c>
      <c r="L60" s="686" t="s">
        <v>707</v>
      </c>
      <c r="M60" s="606"/>
      <c r="N60" s="686"/>
      <c r="O60" s="686"/>
      <c r="P60" s="699">
        <v>2025.3</v>
      </c>
      <c r="Q60" s="699">
        <v>2025.4</v>
      </c>
      <c r="R60" s="699" t="s">
        <v>136</v>
      </c>
      <c r="S60" s="699">
        <v>2026.12</v>
      </c>
      <c r="T60" s="707"/>
    </row>
    <row r="61" spans="1:20" hidden="1">
      <c r="A61" s="686" t="s">
        <v>210</v>
      </c>
      <c r="B61" s="564" t="s">
        <v>579</v>
      </c>
      <c r="C61" s="687"/>
      <c r="D61" s="688">
        <f>'[2]总投资-发采购-0411-GLP拆分场外费用(司调)'!G176</f>
        <v>263.41631999999998</v>
      </c>
      <c r="E61" s="693">
        <f t="shared" si="3"/>
        <v>37.04870886075949</v>
      </c>
      <c r="F61" s="689">
        <f t="shared" si="0"/>
        <v>37.04870886075949</v>
      </c>
      <c r="G61" s="689">
        <f t="shared" si="1"/>
        <v>263.41631999999998</v>
      </c>
      <c r="H61" s="606" t="s">
        <v>543</v>
      </c>
      <c r="I61" s="686" t="s">
        <v>30</v>
      </c>
      <c r="J61" s="686" t="s">
        <v>705</v>
      </c>
      <c r="K61" s="697" t="s">
        <v>544</v>
      </c>
      <c r="L61" s="686" t="s">
        <v>707</v>
      </c>
      <c r="M61" s="606"/>
      <c r="N61" s="686"/>
      <c r="O61" s="686"/>
      <c r="P61" s="699">
        <v>2025.3</v>
      </c>
      <c r="Q61" s="699">
        <v>2025.4</v>
      </c>
      <c r="R61" s="699" t="s">
        <v>136</v>
      </c>
      <c r="S61" s="699">
        <v>2026.12</v>
      </c>
      <c r="T61" s="707"/>
    </row>
    <row r="62" spans="1:20" hidden="1">
      <c r="A62" s="686" t="s">
        <v>211</v>
      </c>
      <c r="B62" s="564" t="s">
        <v>580</v>
      </c>
      <c r="C62" s="687"/>
      <c r="D62" s="688">
        <f>'[2]总投资-发采购-0411-GLP拆分场外费用(司调)'!G177</f>
        <v>204.87935999999999</v>
      </c>
      <c r="E62" s="693">
        <f t="shared" si="3"/>
        <v>28.815662447257381</v>
      </c>
      <c r="F62" s="689">
        <f t="shared" si="0"/>
        <v>28.815662447257381</v>
      </c>
      <c r="G62" s="689">
        <f t="shared" si="1"/>
        <v>204.87935999999999</v>
      </c>
      <c r="H62" s="606" t="s">
        <v>543</v>
      </c>
      <c r="I62" s="686" t="s">
        <v>30</v>
      </c>
      <c r="J62" s="686" t="s">
        <v>705</v>
      </c>
      <c r="K62" s="697" t="s">
        <v>544</v>
      </c>
      <c r="L62" s="686" t="s">
        <v>707</v>
      </c>
      <c r="M62" s="606"/>
      <c r="N62" s="686"/>
      <c r="O62" s="686"/>
      <c r="P62" s="699">
        <v>2025.3</v>
      </c>
      <c r="Q62" s="699">
        <v>2025.4</v>
      </c>
      <c r="R62" s="699" t="s">
        <v>136</v>
      </c>
      <c r="S62" s="699">
        <v>2026.12</v>
      </c>
      <c r="T62" s="707"/>
    </row>
    <row r="63" spans="1:20" hidden="1">
      <c r="A63" s="686" t="s">
        <v>212</v>
      </c>
      <c r="B63" s="564" t="s">
        <v>581</v>
      </c>
      <c r="C63" s="687"/>
      <c r="D63" s="688">
        <f>'[2]总投资-发采购-0411-GLP拆分场外费用(司调)'!G178</f>
        <v>453.66144000000003</v>
      </c>
      <c r="E63" s="693">
        <f t="shared" si="3"/>
        <v>63.806109704641351</v>
      </c>
      <c r="F63" s="689">
        <f t="shared" si="0"/>
        <v>63.806109704641351</v>
      </c>
      <c r="G63" s="689">
        <f t="shared" si="1"/>
        <v>453.66144000000003</v>
      </c>
      <c r="H63" s="606" t="s">
        <v>543</v>
      </c>
      <c r="I63" s="686" t="s">
        <v>30</v>
      </c>
      <c r="J63" s="686" t="s">
        <v>705</v>
      </c>
      <c r="K63" s="697" t="s">
        <v>544</v>
      </c>
      <c r="L63" s="686" t="s">
        <v>707</v>
      </c>
      <c r="M63" s="606"/>
      <c r="N63" s="686"/>
      <c r="O63" s="686"/>
      <c r="P63" s="699">
        <v>2025.3</v>
      </c>
      <c r="Q63" s="699">
        <v>2025.4</v>
      </c>
      <c r="R63" s="699" t="s">
        <v>136</v>
      </c>
      <c r="S63" s="699">
        <v>2026.12</v>
      </c>
      <c r="T63" s="707"/>
    </row>
    <row r="64" spans="1:20" hidden="1">
      <c r="A64" s="686" t="s">
        <v>213</v>
      </c>
      <c r="B64" s="564" t="s">
        <v>582</v>
      </c>
      <c r="C64" s="687"/>
      <c r="D64" s="688">
        <f>'[2]总投资-发采购-0411-GLP拆分场外费用(司调)'!G179</f>
        <v>125.01274900539801</v>
      </c>
      <c r="E64" s="693">
        <f t="shared" si="3"/>
        <v>17.582665120309141</v>
      </c>
      <c r="F64" s="689">
        <f t="shared" si="0"/>
        <v>17.582665120309141</v>
      </c>
      <c r="G64" s="689">
        <f t="shared" si="1"/>
        <v>125.01274900539801</v>
      </c>
      <c r="H64" s="606" t="s">
        <v>543</v>
      </c>
      <c r="I64" s="686" t="s">
        <v>30</v>
      </c>
      <c r="J64" s="686" t="s">
        <v>705</v>
      </c>
      <c r="K64" s="697" t="s">
        <v>544</v>
      </c>
      <c r="L64" s="686" t="s">
        <v>707</v>
      </c>
      <c r="M64" s="606"/>
      <c r="N64" s="686"/>
      <c r="O64" s="686"/>
      <c r="P64" s="699">
        <v>2025.3</v>
      </c>
      <c r="Q64" s="699">
        <v>2025.4</v>
      </c>
      <c r="R64" s="699" t="s">
        <v>136</v>
      </c>
      <c r="S64" s="699">
        <v>2026.12</v>
      </c>
      <c r="T64" s="707"/>
    </row>
    <row r="65" spans="1:20" hidden="1">
      <c r="A65" s="686" t="s">
        <v>214</v>
      </c>
      <c r="B65" s="564" t="s">
        <v>583</v>
      </c>
      <c r="C65" s="687"/>
      <c r="D65" s="688">
        <f>'[2]总投资-发采购-0411-GLP拆分场外费用(司调)'!G180</f>
        <v>457.32</v>
      </c>
      <c r="E65" s="693">
        <f t="shared" si="3"/>
        <v>64.320675105485222</v>
      </c>
      <c r="F65" s="689">
        <f t="shared" si="0"/>
        <v>64.320675105485222</v>
      </c>
      <c r="G65" s="689">
        <f t="shared" si="1"/>
        <v>457.32</v>
      </c>
      <c r="H65" s="606" t="s">
        <v>543</v>
      </c>
      <c r="I65" s="686" t="s">
        <v>30</v>
      </c>
      <c r="J65" s="686" t="s">
        <v>705</v>
      </c>
      <c r="K65" s="697" t="s">
        <v>544</v>
      </c>
      <c r="L65" s="686" t="s">
        <v>707</v>
      </c>
      <c r="M65" s="606"/>
      <c r="N65" s="686"/>
      <c r="O65" s="686"/>
      <c r="P65" s="699">
        <v>2025.3</v>
      </c>
      <c r="Q65" s="699">
        <v>2025.4</v>
      </c>
      <c r="R65" s="699" t="s">
        <v>136</v>
      </c>
      <c r="S65" s="699">
        <v>2026.12</v>
      </c>
      <c r="T65" s="707"/>
    </row>
    <row r="66" spans="1:20" hidden="1">
      <c r="A66" s="686"/>
      <c r="B66" s="564" t="s">
        <v>584</v>
      </c>
      <c r="C66" s="687"/>
      <c r="D66" s="688">
        <f>'[2]总投资-发采购-0411-GLP拆分场外费用(司调)'!G181</f>
        <v>1015.78677480099</v>
      </c>
      <c r="E66" s="693">
        <f t="shared" si="3"/>
        <v>142.86733822798732</v>
      </c>
      <c r="F66" s="689">
        <f t="shared" si="0"/>
        <v>142.86733822798732</v>
      </c>
      <c r="G66" s="689">
        <f t="shared" si="1"/>
        <v>1015.78677480099</v>
      </c>
      <c r="H66" s="606" t="s">
        <v>543</v>
      </c>
      <c r="I66" s="686"/>
      <c r="J66" s="686"/>
      <c r="K66" s="697" t="s">
        <v>544</v>
      </c>
      <c r="L66" s="686"/>
      <c r="M66" s="606"/>
      <c r="N66" s="686"/>
      <c r="O66" s="686"/>
      <c r="P66" s="699"/>
      <c r="Q66" s="699"/>
      <c r="R66" s="699"/>
      <c r="S66" s="699"/>
      <c r="T66" s="707"/>
    </row>
    <row r="67" spans="1:20" hidden="1">
      <c r="A67" s="686" t="s">
        <v>215</v>
      </c>
      <c r="B67" s="564" t="s">
        <v>585</v>
      </c>
      <c r="C67" s="687"/>
      <c r="D67" s="688">
        <f>'[2]总投资-发采购-0411-GLP拆分场外费用(司调)'!G182</f>
        <v>57</v>
      </c>
      <c r="E67" s="693">
        <f t="shared" si="3"/>
        <v>8.0168776371308006</v>
      </c>
      <c r="F67" s="689">
        <f t="shared" si="0"/>
        <v>8.0168776371308006</v>
      </c>
      <c r="G67" s="689">
        <f t="shared" si="1"/>
        <v>57</v>
      </c>
      <c r="H67" s="606" t="s">
        <v>543</v>
      </c>
      <c r="I67" s="686" t="s">
        <v>30</v>
      </c>
      <c r="J67" s="686" t="s">
        <v>705</v>
      </c>
      <c r="K67" s="697" t="s">
        <v>544</v>
      </c>
      <c r="L67" s="686" t="s">
        <v>707</v>
      </c>
      <c r="M67" s="606"/>
      <c r="N67" s="686"/>
      <c r="O67" s="686"/>
      <c r="P67" s="699">
        <v>2025.3</v>
      </c>
      <c r="Q67" s="699">
        <v>2025.4</v>
      </c>
      <c r="R67" s="699" t="s">
        <v>136</v>
      </c>
      <c r="S67" s="699">
        <v>2026.12</v>
      </c>
      <c r="T67" s="707"/>
    </row>
    <row r="68" spans="1:20" hidden="1">
      <c r="A68" s="686"/>
      <c r="B68" s="564" t="s">
        <v>586</v>
      </c>
      <c r="C68" s="687"/>
      <c r="D68" s="688">
        <f>'[2]总投资-发采购-0411-GLP拆分场外费用(司调)'!G183</f>
        <v>1</v>
      </c>
      <c r="E68" s="693">
        <f t="shared" si="3"/>
        <v>0.14064697609001406</v>
      </c>
      <c r="F68" s="689">
        <f t="shared" si="0"/>
        <v>0.14064697609001406</v>
      </c>
      <c r="G68" s="689">
        <f t="shared" si="1"/>
        <v>1</v>
      </c>
      <c r="H68" s="606" t="s">
        <v>543</v>
      </c>
      <c r="I68" s="686" t="s">
        <v>30</v>
      </c>
      <c r="J68" s="686" t="s">
        <v>705</v>
      </c>
      <c r="K68" s="697" t="s">
        <v>544</v>
      </c>
      <c r="L68" s="686" t="s">
        <v>707</v>
      </c>
      <c r="M68" s="606"/>
      <c r="N68" s="686"/>
      <c r="O68" s="686"/>
      <c r="P68" s="699">
        <v>2025.3</v>
      </c>
      <c r="Q68" s="699">
        <v>2025.4</v>
      </c>
      <c r="R68" s="699" t="s">
        <v>136</v>
      </c>
      <c r="S68" s="699">
        <v>2026.12</v>
      </c>
      <c r="T68" s="707"/>
    </row>
    <row r="69" spans="1:20" hidden="1">
      <c r="A69" s="686"/>
      <c r="B69" s="564" t="s">
        <v>587</v>
      </c>
      <c r="C69" s="687"/>
      <c r="D69" s="688">
        <f>'[2]总投资-发采购-0411-GLP拆分场外费用(司调)'!G184</f>
        <v>9</v>
      </c>
      <c r="E69" s="693">
        <f t="shared" si="3"/>
        <v>1.2658227848101264</v>
      </c>
      <c r="F69" s="689">
        <f t="shared" si="0"/>
        <v>1.2658227848101264</v>
      </c>
      <c r="G69" s="689">
        <f t="shared" si="1"/>
        <v>9</v>
      </c>
      <c r="H69" s="606" t="s">
        <v>543</v>
      </c>
      <c r="I69" s="686" t="s">
        <v>30</v>
      </c>
      <c r="J69" s="686" t="s">
        <v>705</v>
      </c>
      <c r="K69" s="697" t="s">
        <v>544</v>
      </c>
      <c r="L69" s="686" t="s">
        <v>707</v>
      </c>
      <c r="M69" s="606"/>
      <c r="N69" s="686"/>
      <c r="O69" s="686"/>
      <c r="P69" s="699">
        <v>2025.3</v>
      </c>
      <c r="Q69" s="699">
        <v>2025.4</v>
      </c>
      <c r="R69" s="699" t="s">
        <v>136</v>
      </c>
      <c r="S69" s="699">
        <v>2026.12</v>
      </c>
      <c r="T69" s="707"/>
    </row>
    <row r="70" spans="1:20" hidden="1">
      <c r="A70" s="686"/>
      <c r="B70" s="564" t="s">
        <v>588</v>
      </c>
      <c r="C70" s="687"/>
      <c r="D70" s="688">
        <f>'[2]总投资-发采购-0411-GLP拆分场外费用(司调)'!G185</f>
        <v>47</v>
      </c>
      <c r="E70" s="693">
        <f t="shared" si="3"/>
        <v>6.6104078762306608</v>
      </c>
      <c r="F70" s="689">
        <f t="shared" si="0"/>
        <v>6.6104078762306608</v>
      </c>
      <c r="G70" s="689">
        <f t="shared" si="1"/>
        <v>47</v>
      </c>
      <c r="H70" s="606" t="s">
        <v>543</v>
      </c>
      <c r="I70" s="686" t="s">
        <v>30</v>
      </c>
      <c r="J70" s="686" t="s">
        <v>705</v>
      </c>
      <c r="K70" s="697" t="s">
        <v>544</v>
      </c>
      <c r="L70" s="686" t="s">
        <v>707</v>
      </c>
      <c r="M70" s="606"/>
      <c r="N70" s="686"/>
      <c r="O70" s="686"/>
      <c r="P70" s="699">
        <v>2025.3</v>
      </c>
      <c r="Q70" s="699">
        <v>2025.4</v>
      </c>
      <c r="R70" s="699" t="s">
        <v>136</v>
      </c>
      <c r="S70" s="699">
        <v>2026.12</v>
      </c>
      <c r="T70" s="707"/>
    </row>
    <row r="71" spans="1:20" hidden="1">
      <c r="A71" s="686" t="s">
        <v>216</v>
      </c>
      <c r="B71" s="564" t="s">
        <v>589</v>
      </c>
      <c r="C71" s="687"/>
      <c r="D71" s="688">
        <f>'[2]总投资-发采购-0411-GLP拆分场外费用(司调)'!G202</f>
        <v>4178.7488000000003</v>
      </c>
      <c r="E71" s="693">
        <f t="shared" si="3"/>
        <v>587.72838255977501</v>
      </c>
      <c r="F71" s="689">
        <f t="shared" si="0"/>
        <v>587.72838255977501</v>
      </c>
      <c r="G71" s="689">
        <f t="shared" si="1"/>
        <v>4178.7488000000003</v>
      </c>
      <c r="H71" s="606" t="s">
        <v>543</v>
      </c>
      <c r="I71" s="686"/>
      <c r="J71" s="686"/>
      <c r="K71" s="697" t="s">
        <v>544</v>
      </c>
      <c r="L71" s="686"/>
      <c r="M71" s="606"/>
      <c r="N71" s="686"/>
      <c r="O71" s="686"/>
      <c r="P71" s="699"/>
      <c r="Q71" s="699"/>
      <c r="R71" s="699"/>
      <c r="S71" s="699"/>
      <c r="T71" s="707"/>
    </row>
    <row r="72" spans="1:20" hidden="1">
      <c r="A72" s="686" t="s">
        <v>218</v>
      </c>
      <c r="B72" s="564" t="s">
        <v>590</v>
      </c>
      <c r="C72" s="687"/>
      <c r="D72" s="688">
        <f>'[2]总投资-发采购-0411-GLP拆分场外费用(司调)'!G203</f>
        <v>4053.386336</v>
      </c>
      <c r="E72" s="693">
        <f t="shared" ref="E72:E75" si="4">D72/$A$3</f>
        <v>570.09653108298164</v>
      </c>
      <c r="F72" s="689">
        <f t="shared" ref="F72:F143" si="5">E72</f>
        <v>570.09653108298164</v>
      </c>
      <c r="G72" s="689">
        <f t="shared" ref="G72:G135" si="6">D72</f>
        <v>4053.386336</v>
      </c>
      <c r="H72" s="606" t="s">
        <v>543</v>
      </c>
      <c r="I72" s="686"/>
      <c r="J72" s="686"/>
      <c r="K72" s="697" t="s">
        <v>544</v>
      </c>
      <c r="L72" s="686"/>
      <c r="M72" s="606"/>
      <c r="N72" s="686"/>
      <c r="O72" s="686"/>
      <c r="P72" s="699"/>
      <c r="Q72" s="699"/>
      <c r="R72" s="699"/>
      <c r="S72" s="699"/>
      <c r="T72" s="707"/>
    </row>
    <row r="73" spans="1:20" hidden="1">
      <c r="A73" s="686" t="s">
        <v>220</v>
      </c>
      <c r="B73" s="564" t="s">
        <v>591</v>
      </c>
      <c r="C73" s="687"/>
      <c r="D73" s="688">
        <f>'[2]总投资-发采购-0411-GLP拆分场外费用(司调)'!G204</f>
        <v>125.362464</v>
      </c>
      <c r="E73" s="693">
        <f t="shared" si="4"/>
        <v>17.631851476793248</v>
      </c>
      <c r="F73" s="689">
        <f t="shared" si="5"/>
        <v>17.631851476793248</v>
      </c>
      <c r="G73" s="689">
        <f t="shared" si="6"/>
        <v>125.362464</v>
      </c>
      <c r="H73" s="606" t="s">
        <v>543</v>
      </c>
      <c r="I73" s="686"/>
      <c r="J73" s="686"/>
      <c r="K73" s="697" t="s">
        <v>544</v>
      </c>
      <c r="L73" s="686"/>
      <c r="M73" s="606"/>
      <c r="N73" s="686"/>
      <c r="O73" s="686"/>
      <c r="P73" s="699"/>
      <c r="Q73" s="699"/>
      <c r="R73" s="699"/>
      <c r="S73" s="699"/>
      <c r="T73" s="707"/>
    </row>
    <row r="74" spans="1:20" ht="26.4">
      <c r="A74" s="606" t="s">
        <v>35</v>
      </c>
      <c r="B74" s="564" t="s">
        <v>592</v>
      </c>
      <c r="C74" s="683" t="s">
        <v>593</v>
      </c>
      <c r="D74" s="684">
        <f>SUM('[2]总投资-发采购-0411-GLP拆分场外费用(司调)'!G108,'[2]总投资-发采购-0411-GLP拆分场外费用(司调)'!G121,'[2]总投资-发采购-0411-GLP拆分场外费用(司调)'!G95,'[2]总投资-发采购-0411-GLP拆分场外费用(司调)'!G199)</f>
        <v>54208.013061394893</v>
      </c>
      <c r="E74" s="695">
        <f t="shared" si="4"/>
        <v>7624.1931169331774</v>
      </c>
      <c r="F74" s="685">
        <f t="shared" si="5"/>
        <v>7624.1931169331774</v>
      </c>
      <c r="G74" s="685">
        <f t="shared" si="6"/>
        <v>54208.013061394893</v>
      </c>
      <c r="H74" s="606" t="s">
        <v>543</v>
      </c>
      <c r="I74" s="606" t="s">
        <v>79</v>
      </c>
      <c r="J74" s="606">
        <v>18</v>
      </c>
      <c r="K74" s="697" t="s">
        <v>31</v>
      </c>
      <c r="L74" s="606" t="s">
        <v>135</v>
      </c>
      <c r="M74" s="606"/>
      <c r="N74" s="606"/>
      <c r="O74" s="606"/>
      <c r="P74" s="698" t="s">
        <v>225</v>
      </c>
      <c r="Q74" s="698" t="s">
        <v>226</v>
      </c>
      <c r="R74" s="698" t="s">
        <v>714</v>
      </c>
      <c r="S74" s="698" t="s">
        <v>228</v>
      </c>
      <c r="T74" s="697"/>
    </row>
    <row r="75" spans="1:20" hidden="1">
      <c r="A75" s="686">
        <v>2.1</v>
      </c>
      <c r="B75" s="564" t="s">
        <v>594</v>
      </c>
      <c r="C75" s="687"/>
      <c r="D75" s="688">
        <f>'[2]总投资-发采购-0411-GLP拆分场外费用(司调)'!G108</f>
        <v>15502.4051499249</v>
      </c>
      <c r="E75" s="693">
        <f t="shared" si="4"/>
        <v>2180.3664064591981</v>
      </c>
      <c r="F75" s="689">
        <f t="shared" si="5"/>
        <v>2180.3664064591981</v>
      </c>
      <c r="G75" s="689">
        <f t="shared" si="6"/>
        <v>15502.4051499249</v>
      </c>
      <c r="H75" s="606" t="s">
        <v>543</v>
      </c>
      <c r="I75" s="686"/>
      <c r="J75" s="686"/>
      <c r="K75" s="697" t="s">
        <v>544</v>
      </c>
      <c r="L75" s="686"/>
      <c r="M75" s="606"/>
      <c r="N75" s="686"/>
      <c r="O75" s="686"/>
      <c r="P75" s="699"/>
      <c r="Q75" s="699"/>
      <c r="R75" s="699"/>
      <c r="S75" s="699"/>
      <c r="T75" s="707"/>
    </row>
    <row r="76" spans="1:20" hidden="1">
      <c r="A76" s="686" t="s">
        <v>230</v>
      </c>
      <c r="B76" s="564" t="s">
        <v>595</v>
      </c>
      <c r="C76" s="687"/>
      <c r="D76" s="688">
        <f>'[2]总投资-发采购-0411-GLP拆分场外费用(司调)'!G109</f>
        <v>12124.859358359399</v>
      </c>
      <c r="E76" s="693">
        <f t="shared" ref="E76:E113" si="7">D76/$A$3</f>
        <v>1705.3248042699577</v>
      </c>
      <c r="F76" s="689">
        <f t="shared" si="5"/>
        <v>1705.3248042699577</v>
      </c>
      <c r="G76" s="689">
        <f t="shared" si="6"/>
        <v>12124.859358359399</v>
      </c>
      <c r="H76" s="606" t="s">
        <v>543</v>
      </c>
      <c r="I76" s="686"/>
      <c r="J76" s="686"/>
      <c r="K76" s="697" t="s">
        <v>544</v>
      </c>
      <c r="L76" s="686"/>
      <c r="M76" s="606"/>
      <c r="N76" s="686"/>
      <c r="O76" s="686"/>
      <c r="P76" s="699"/>
      <c r="Q76" s="699"/>
      <c r="R76" s="699"/>
      <c r="S76" s="699"/>
      <c r="T76" s="707"/>
    </row>
    <row r="77" spans="1:20" hidden="1">
      <c r="A77" s="686" t="s">
        <v>231</v>
      </c>
      <c r="B77" s="564" t="s">
        <v>596</v>
      </c>
      <c r="C77" s="687"/>
      <c r="D77" s="688">
        <f>'[2]总投资-发采购-0411-GLP拆分场外费用(司调)'!G110</f>
        <v>40.926720000000003</v>
      </c>
      <c r="E77" s="693">
        <f t="shared" si="7"/>
        <v>5.7562194092827008</v>
      </c>
      <c r="F77" s="689">
        <f t="shared" si="5"/>
        <v>5.7562194092827008</v>
      </c>
      <c r="G77" s="689">
        <f t="shared" si="6"/>
        <v>40.926720000000003</v>
      </c>
      <c r="H77" s="606" t="s">
        <v>543</v>
      </c>
      <c r="I77" s="686"/>
      <c r="J77" s="686"/>
      <c r="K77" s="697" t="s">
        <v>544</v>
      </c>
      <c r="L77" s="686"/>
      <c r="M77" s="606"/>
      <c r="N77" s="686"/>
      <c r="O77" s="686"/>
      <c r="P77" s="699"/>
      <c r="Q77" s="699"/>
      <c r="R77" s="699"/>
      <c r="S77" s="699"/>
      <c r="T77" s="707"/>
    </row>
    <row r="78" spans="1:20" hidden="1">
      <c r="A78" s="686" t="s">
        <v>232</v>
      </c>
      <c r="B78" s="564" t="s">
        <v>597</v>
      </c>
      <c r="C78" s="687"/>
      <c r="D78" s="688">
        <f>'[2]总投资-发采购-0411-GLP拆分场外费用(司调)'!G111</f>
        <v>368.34048000000001</v>
      </c>
      <c r="E78" s="693">
        <f t="shared" si="7"/>
        <v>51.805974683544306</v>
      </c>
      <c r="F78" s="689">
        <f t="shared" si="5"/>
        <v>51.805974683544306</v>
      </c>
      <c r="G78" s="689">
        <f t="shared" si="6"/>
        <v>368.34048000000001</v>
      </c>
      <c r="H78" s="606" t="s">
        <v>543</v>
      </c>
      <c r="I78" s="686"/>
      <c r="J78" s="686"/>
      <c r="K78" s="697" t="s">
        <v>544</v>
      </c>
      <c r="L78" s="686"/>
      <c r="M78" s="606"/>
      <c r="N78" s="686"/>
      <c r="O78" s="686"/>
      <c r="P78" s="699"/>
      <c r="Q78" s="699"/>
      <c r="R78" s="699"/>
      <c r="S78" s="699"/>
      <c r="T78" s="707"/>
    </row>
    <row r="79" spans="1:20" hidden="1">
      <c r="A79" s="686" t="s">
        <v>233</v>
      </c>
      <c r="B79" s="564" t="s">
        <v>598</v>
      </c>
      <c r="C79" s="687"/>
      <c r="D79" s="688">
        <f>'[2]总投资-发采购-0411-GLP拆分场外费用(司调)'!G112</f>
        <v>286.48703999999998</v>
      </c>
      <c r="E79" s="693">
        <f t="shared" si="7"/>
        <v>40.293535864978899</v>
      </c>
      <c r="F79" s="689">
        <f t="shared" si="5"/>
        <v>40.293535864978899</v>
      </c>
      <c r="G79" s="689">
        <f t="shared" si="6"/>
        <v>286.48703999999998</v>
      </c>
      <c r="H79" s="606" t="s">
        <v>543</v>
      </c>
      <c r="I79" s="686"/>
      <c r="J79" s="686"/>
      <c r="K79" s="697" t="s">
        <v>544</v>
      </c>
      <c r="L79" s="686"/>
      <c r="M79" s="606"/>
      <c r="N79" s="686"/>
      <c r="O79" s="686"/>
      <c r="P79" s="699"/>
      <c r="Q79" s="699"/>
      <c r="R79" s="699"/>
      <c r="S79" s="699"/>
      <c r="T79" s="707"/>
    </row>
    <row r="80" spans="1:20" hidden="1">
      <c r="A80" s="686" t="s">
        <v>234</v>
      </c>
      <c r="B80" s="564" t="s">
        <v>599</v>
      </c>
      <c r="C80" s="687"/>
      <c r="D80" s="688">
        <f>'[2]总投资-发采购-0411-GLP拆分场外费用(司调)'!G113</f>
        <v>634.36415999999997</v>
      </c>
      <c r="E80" s="693">
        <f t="shared" si="7"/>
        <v>89.221400843881852</v>
      </c>
      <c r="F80" s="689">
        <f t="shared" si="5"/>
        <v>89.221400843881852</v>
      </c>
      <c r="G80" s="689">
        <f t="shared" si="6"/>
        <v>634.36415999999997</v>
      </c>
      <c r="H80" s="606" t="s">
        <v>543</v>
      </c>
      <c r="I80" s="686"/>
      <c r="J80" s="686"/>
      <c r="K80" s="697" t="s">
        <v>544</v>
      </c>
      <c r="L80" s="686"/>
      <c r="M80" s="606"/>
      <c r="N80" s="686"/>
      <c r="O80" s="686"/>
      <c r="P80" s="699"/>
      <c r="Q80" s="699"/>
      <c r="R80" s="699"/>
      <c r="S80" s="699"/>
      <c r="T80" s="707"/>
    </row>
    <row r="81" spans="1:20" hidden="1">
      <c r="A81" s="686" t="s">
        <v>235</v>
      </c>
      <c r="B81" s="564" t="s">
        <v>600</v>
      </c>
      <c r="C81" s="687"/>
      <c r="D81" s="688">
        <f>'[2]总投资-发采购-0411-GLP拆分场外费用(司调)'!G114</f>
        <v>174.807908541004</v>
      </c>
      <c r="E81" s="693">
        <f t="shared" si="7"/>
        <v>24.586203732911954</v>
      </c>
      <c r="F81" s="689">
        <f t="shared" si="5"/>
        <v>24.586203732911954</v>
      </c>
      <c r="G81" s="689">
        <f t="shared" si="6"/>
        <v>174.807908541004</v>
      </c>
      <c r="H81" s="606" t="s">
        <v>543</v>
      </c>
      <c r="I81" s="686"/>
      <c r="J81" s="686"/>
      <c r="K81" s="697" t="s">
        <v>544</v>
      </c>
      <c r="L81" s="686"/>
      <c r="M81" s="606"/>
      <c r="N81" s="686"/>
      <c r="O81" s="686"/>
      <c r="P81" s="699"/>
      <c r="Q81" s="699"/>
      <c r="R81" s="699"/>
      <c r="S81" s="699"/>
      <c r="T81" s="707"/>
    </row>
    <row r="82" spans="1:20" hidden="1">
      <c r="A82" s="686" t="s">
        <v>236</v>
      </c>
      <c r="B82" s="564" t="s">
        <v>601</v>
      </c>
      <c r="C82" s="687"/>
      <c r="D82" s="688">
        <f>'[2]总投资-发采购-0411-GLP拆分场外费用(司调)'!G115</f>
        <v>639.48</v>
      </c>
      <c r="E82" s="693">
        <f t="shared" si="7"/>
        <v>89.940928270042193</v>
      </c>
      <c r="F82" s="689">
        <f t="shared" si="5"/>
        <v>89.940928270042193</v>
      </c>
      <c r="G82" s="689">
        <f t="shared" si="6"/>
        <v>639.48</v>
      </c>
      <c r="H82" s="606" t="s">
        <v>543</v>
      </c>
      <c r="I82" s="686"/>
      <c r="J82" s="686"/>
      <c r="K82" s="697" t="s">
        <v>544</v>
      </c>
      <c r="L82" s="686"/>
      <c r="M82" s="606"/>
      <c r="N82" s="686"/>
      <c r="O82" s="686"/>
      <c r="P82" s="699"/>
      <c r="Q82" s="699"/>
      <c r="R82" s="699"/>
      <c r="S82" s="699"/>
      <c r="T82" s="707"/>
    </row>
    <row r="83" spans="1:20" hidden="1">
      <c r="A83" s="686"/>
      <c r="B83" s="564" t="s">
        <v>602</v>
      </c>
      <c r="C83" s="687"/>
      <c r="D83" s="688">
        <f>'[2]总投资-发采购-0411-GLP拆分场外费用(司调)'!G116</f>
        <v>1161.1394830245599</v>
      </c>
      <c r="E83" s="693">
        <f t="shared" si="7"/>
        <v>163.31075710612657</v>
      </c>
      <c r="F83" s="689">
        <f t="shared" si="5"/>
        <v>163.31075710612657</v>
      </c>
      <c r="G83" s="689">
        <f t="shared" si="6"/>
        <v>1161.1394830245599</v>
      </c>
      <c r="H83" s="606" t="s">
        <v>543</v>
      </c>
      <c r="I83" s="686"/>
      <c r="J83" s="686"/>
      <c r="K83" s="697" t="s">
        <v>544</v>
      </c>
      <c r="L83" s="686"/>
      <c r="M83" s="606"/>
      <c r="N83" s="686"/>
      <c r="O83" s="686"/>
      <c r="P83" s="699"/>
      <c r="Q83" s="699"/>
      <c r="R83" s="699"/>
      <c r="S83" s="699"/>
      <c r="T83" s="707"/>
    </row>
    <row r="84" spans="1:20" hidden="1">
      <c r="A84" s="686" t="s">
        <v>237</v>
      </c>
      <c r="B84" s="564" t="s">
        <v>603</v>
      </c>
      <c r="C84" s="687"/>
      <c r="D84" s="688">
        <f>'[2]总投资-发采购-0411-GLP拆分场外费用(司调)'!G117</f>
        <v>72</v>
      </c>
      <c r="E84" s="693">
        <f t="shared" si="7"/>
        <v>10.126582278481012</v>
      </c>
      <c r="F84" s="689">
        <f t="shared" si="5"/>
        <v>10.126582278481012</v>
      </c>
      <c r="G84" s="689">
        <f t="shared" si="6"/>
        <v>72</v>
      </c>
      <c r="H84" s="606" t="s">
        <v>543</v>
      </c>
      <c r="I84" s="686"/>
      <c r="J84" s="686"/>
      <c r="K84" s="697" t="s">
        <v>544</v>
      </c>
      <c r="L84" s="686"/>
      <c r="M84" s="606"/>
      <c r="N84" s="686"/>
      <c r="O84" s="686"/>
      <c r="P84" s="699"/>
      <c r="Q84" s="699"/>
      <c r="R84" s="699"/>
      <c r="S84" s="699"/>
      <c r="T84" s="707"/>
    </row>
    <row r="85" spans="1:20" hidden="1">
      <c r="A85" s="686"/>
      <c r="B85" s="564" t="s">
        <v>604</v>
      </c>
      <c r="C85" s="687"/>
      <c r="D85" s="688">
        <f>'[2]总投资-发采购-0411-GLP拆分场外费用(司调)'!G118</f>
        <v>1</v>
      </c>
      <c r="E85" s="693">
        <f t="shared" si="7"/>
        <v>0.14064697609001406</v>
      </c>
      <c r="F85" s="689">
        <f t="shared" si="5"/>
        <v>0.14064697609001406</v>
      </c>
      <c r="G85" s="689">
        <f t="shared" si="6"/>
        <v>1</v>
      </c>
      <c r="H85" s="606" t="s">
        <v>543</v>
      </c>
      <c r="I85" s="686"/>
      <c r="J85" s="686"/>
      <c r="K85" s="697" t="s">
        <v>544</v>
      </c>
      <c r="L85" s="686"/>
      <c r="M85" s="606"/>
      <c r="N85" s="686"/>
      <c r="O85" s="686"/>
      <c r="P85" s="699"/>
      <c r="Q85" s="699"/>
      <c r="R85" s="699"/>
      <c r="S85" s="699"/>
      <c r="T85" s="707"/>
    </row>
    <row r="86" spans="1:20" hidden="1">
      <c r="A86" s="686"/>
      <c r="B86" s="564" t="s">
        <v>605</v>
      </c>
      <c r="C86" s="687"/>
      <c r="D86" s="688">
        <f>'[2]总投资-发采购-0411-GLP拆分场外费用(司调)'!G119</f>
        <v>13</v>
      </c>
      <c r="E86" s="693">
        <f t="shared" si="7"/>
        <v>1.8284106891701828</v>
      </c>
      <c r="F86" s="689">
        <f t="shared" si="5"/>
        <v>1.8284106891701828</v>
      </c>
      <c r="G86" s="689">
        <f t="shared" si="6"/>
        <v>13</v>
      </c>
      <c r="H86" s="606" t="s">
        <v>543</v>
      </c>
      <c r="I86" s="686"/>
      <c r="J86" s="686"/>
      <c r="K86" s="697" t="s">
        <v>544</v>
      </c>
      <c r="L86" s="686"/>
      <c r="M86" s="606"/>
      <c r="N86" s="686"/>
      <c r="O86" s="686"/>
      <c r="P86" s="699"/>
      <c r="Q86" s="699"/>
      <c r="R86" s="699"/>
      <c r="S86" s="699"/>
      <c r="T86" s="707"/>
    </row>
    <row r="87" spans="1:20" hidden="1">
      <c r="A87" s="686"/>
      <c r="B87" s="564" t="s">
        <v>606</v>
      </c>
      <c r="C87" s="687"/>
      <c r="D87" s="688">
        <f>'[2]总投资-发采购-0411-GLP拆分场外费用(司调)'!G120</f>
        <v>58</v>
      </c>
      <c r="E87" s="693">
        <f t="shared" si="7"/>
        <v>8.157524613220815</v>
      </c>
      <c r="F87" s="689">
        <f t="shared" si="5"/>
        <v>8.157524613220815</v>
      </c>
      <c r="G87" s="689">
        <f t="shared" si="6"/>
        <v>58</v>
      </c>
      <c r="H87" s="606" t="s">
        <v>543</v>
      </c>
      <c r="I87" s="686"/>
      <c r="J87" s="686"/>
      <c r="K87" s="697" t="s">
        <v>544</v>
      </c>
      <c r="L87" s="686"/>
      <c r="M87" s="606"/>
      <c r="N87" s="686"/>
      <c r="O87" s="686"/>
      <c r="P87" s="699"/>
      <c r="Q87" s="699"/>
      <c r="R87" s="699"/>
      <c r="S87" s="699"/>
      <c r="T87" s="707"/>
    </row>
    <row r="88" spans="1:20" hidden="1">
      <c r="A88" s="686">
        <v>2.11</v>
      </c>
      <c r="B88" s="564" t="s">
        <v>607</v>
      </c>
      <c r="C88" s="687"/>
      <c r="D88" s="688">
        <f>'[2]总投资-发采购-0411-GLP拆分场外费用(司调)'!G121</f>
        <v>15296.8552463777</v>
      </c>
      <c r="E88" s="693">
        <f t="shared" si="7"/>
        <v>2151.4564340896904</v>
      </c>
      <c r="F88" s="689">
        <f t="shared" si="5"/>
        <v>2151.4564340896904</v>
      </c>
      <c r="G88" s="689">
        <f t="shared" si="6"/>
        <v>15296.8552463777</v>
      </c>
      <c r="H88" s="606" t="s">
        <v>543</v>
      </c>
      <c r="I88" s="686"/>
      <c r="J88" s="686"/>
      <c r="K88" s="697" t="s">
        <v>544</v>
      </c>
      <c r="L88" s="686"/>
      <c r="M88" s="606"/>
      <c r="N88" s="686"/>
      <c r="O88" s="686"/>
      <c r="P88" s="699"/>
      <c r="Q88" s="699"/>
      <c r="R88" s="699"/>
      <c r="S88" s="699"/>
      <c r="T88" s="707"/>
    </row>
    <row r="89" spans="1:20" hidden="1">
      <c r="A89" s="686" t="s">
        <v>239</v>
      </c>
      <c r="B89" s="564" t="s">
        <v>608</v>
      </c>
      <c r="C89" s="687"/>
      <c r="D89" s="688">
        <f>'[2]总投资-发采购-0411-GLP拆分场外费用(司调)'!G122</f>
        <v>12124.859358359399</v>
      </c>
      <c r="E89" s="693">
        <f t="shared" si="7"/>
        <v>1705.3248042699577</v>
      </c>
      <c r="F89" s="689">
        <f t="shared" si="5"/>
        <v>1705.3248042699577</v>
      </c>
      <c r="G89" s="689">
        <f t="shared" si="6"/>
        <v>12124.859358359399</v>
      </c>
      <c r="H89" s="606" t="s">
        <v>543</v>
      </c>
      <c r="I89" s="686"/>
      <c r="J89" s="686"/>
      <c r="K89" s="697" t="s">
        <v>544</v>
      </c>
      <c r="L89" s="686"/>
      <c r="M89" s="606"/>
      <c r="N89" s="686"/>
      <c r="O89" s="686"/>
      <c r="P89" s="699"/>
      <c r="Q89" s="699"/>
      <c r="R89" s="699"/>
      <c r="S89" s="699"/>
      <c r="T89" s="707"/>
    </row>
    <row r="90" spans="1:20" hidden="1">
      <c r="A90" s="686" t="s">
        <v>240</v>
      </c>
      <c r="B90" s="564" t="s">
        <v>609</v>
      </c>
      <c r="C90" s="687"/>
      <c r="D90" s="688">
        <f>'[2]总投资-发采购-0411-GLP拆分场外费用(司调)'!G123</f>
        <v>40.926720000000003</v>
      </c>
      <c r="E90" s="693">
        <f t="shared" si="7"/>
        <v>5.7562194092827008</v>
      </c>
      <c r="F90" s="689">
        <f t="shared" si="5"/>
        <v>5.7562194092827008</v>
      </c>
      <c r="G90" s="689">
        <f t="shared" si="6"/>
        <v>40.926720000000003</v>
      </c>
      <c r="H90" s="606" t="s">
        <v>543</v>
      </c>
      <c r="I90" s="686"/>
      <c r="J90" s="686"/>
      <c r="K90" s="697" t="s">
        <v>544</v>
      </c>
      <c r="L90" s="686"/>
      <c r="M90" s="606"/>
      <c r="N90" s="686"/>
      <c r="O90" s="686"/>
      <c r="P90" s="699"/>
      <c r="Q90" s="699"/>
      <c r="R90" s="699"/>
      <c r="S90" s="699"/>
      <c r="T90" s="707"/>
    </row>
    <row r="91" spans="1:20" hidden="1">
      <c r="A91" s="686" t="s">
        <v>241</v>
      </c>
      <c r="B91" s="564" t="s">
        <v>610</v>
      </c>
      <c r="C91" s="687"/>
      <c r="D91" s="688">
        <f>'[2]总投资-发采购-0411-GLP拆分场外费用(司调)'!G124</f>
        <v>368.34048000000001</v>
      </c>
      <c r="E91" s="693">
        <f t="shared" si="7"/>
        <v>51.805974683544306</v>
      </c>
      <c r="F91" s="689">
        <f t="shared" si="5"/>
        <v>51.805974683544306</v>
      </c>
      <c r="G91" s="689">
        <f t="shared" si="6"/>
        <v>368.34048000000001</v>
      </c>
      <c r="H91" s="606" t="s">
        <v>543</v>
      </c>
      <c r="I91" s="686"/>
      <c r="J91" s="686"/>
      <c r="K91" s="697" t="s">
        <v>544</v>
      </c>
      <c r="L91" s="686"/>
      <c r="M91" s="606"/>
      <c r="N91" s="686"/>
      <c r="O91" s="686"/>
      <c r="P91" s="699"/>
      <c r="Q91" s="699"/>
      <c r="R91" s="699"/>
      <c r="S91" s="699"/>
      <c r="T91" s="707"/>
    </row>
    <row r="92" spans="1:20" hidden="1">
      <c r="A92" s="686" t="s">
        <v>242</v>
      </c>
      <c r="B92" s="564" t="s">
        <v>611</v>
      </c>
      <c r="C92" s="687"/>
      <c r="D92" s="688">
        <f>'[2]总投资-发采购-0411-GLP拆分场外费用(司调)'!G125</f>
        <v>286.48703999999998</v>
      </c>
      <c r="E92" s="693">
        <f t="shared" si="7"/>
        <v>40.293535864978899</v>
      </c>
      <c r="F92" s="689">
        <f t="shared" si="5"/>
        <v>40.293535864978899</v>
      </c>
      <c r="G92" s="689">
        <f t="shared" si="6"/>
        <v>286.48703999999998</v>
      </c>
      <c r="H92" s="606" t="s">
        <v>543</v>
      </c>
      <c r="I92" s="686"/>
      <c r="J92" s="686"/>
      <c r="K92" s="697" t="s">
        <v>544</v>
      </c>
      <c r="L92" s="686"/>
      <c r="M92" s="606"/>
      <c r="N92" s="686"/>
      <c r="O92" s="686"/>
      <c r="P92" s="699"/>
      <c r="Q92" s="699"/>
      <c r="R92" s="699"/>
      <c r="S92" s="699"/>
      <c r="T92" s="707"/>
    </row>
    <row r="93" spans="1:20" hidden="1">
      <c r="A93" s="686" t="s">
        <v>243</v>
      </c>
      <c r="B93" s="564" t="s">
        <v>612</v>
      </c>
      <c r="C93" s="687"/>
      <c r="D93" s="688">
        <f>'[2]总投资-发采购-0411-GLP拆分场外费用(司调)'!G126</f>
        <v>634.36415999999997</v>
      </c>
      <c r="E93" s="693">
        <f t="shared" si="7"/>
        <v>89.221400843881852</v>
      </c>
      <c r="F93" s="689">
        <f t="shared" si="5"/>
        <v>89.221400843881852</v>
      </c>
      <c r="G93" s="689">
        <f t="shared" si="6"/>
        <v>634.36415999999997</v>
      </c>
      <c r="H93" s="606" t="s">
        <v>543</v>
      </c>
      <c r="I93" s="686"/>
      <c r="J93" s="686"/>
      <c r="K93" s="697" t="s">
        <v>544</v>
      </c>
      <c r="L93" s="686"/>
      <c r="M93" s="606"/>
      <c r="N93" s="686"/>
      <c r="O93" s="686"/>
      <c r="P93" s="699"/>
      <c r="Q93" s="699"/>
      <c r="R93" s="699"/>
      <c r="S93" s="699"/>
      <c r="T93" s="707"/>
    </row>
    <row r="94" spans="1:20" hidden="1">
      <c r="A94" s="686" t="s">
        <v>244</v>
      </c>
      <c r="B94" s="564" t="s">
        <v>613</v>
      </c>
      <c r="C94" s="687"/>
      <c r="D94" s="688">
        <f>'[2]总投资-发采购-0411-GLP拆分场外费用(司调)'!G127</f>
        <v>174.807908541004</v>
      </c>
      <c r="E94" s="693">
        <f t="shared" si="7"/>
        <v>24.586203732911954</v>
      </c>
      <c r="F94" s="689">
        <f t="shared" si="5"/>
        <v>24.586203732911954</v>
      </c>
      <c r="G94" s="689">
        <f t="shared" si="6"/>
        <v>174.807908541004</v>
      </c>
      <c r="H94" s="606" t="s">
        <v>543</v>
      </c>
      <c r="I94" s="686"/>
      <c r="J94" s="686"/>
      <c r="K94" s="697" t="s">
        <v>544</v>
      </c>
      <c r="L94" s="686"/>
      <c r="M94" s="606"/>
      <c r="N94" s="686"/>
      <c r="O94" s="686"/>
      <c r="P94" s="699"/>
      <c r="Q94" s="699"/>
      <c r="R94" s="699"/>
      <c r="S94" s="699"/>
      <c r="T94" s="707"/>
    </row>
    <row r="95" spans="1:20" hidden="1">
      <c r="A95" s="686" t="s">
        <v>245</v>
      </c>
      <c r="B95" s="564" t="s">
        <v>614</v>
      </c>
      <c r="C95" s="687"/>
      <c r="D95" s="688">
        <f>'[2]总投资-发采购-0411-GLP拆分场外费用(司调)'!G128</f>
        <v>639.48</v>
      </c>
      <c r="E95" s="693">
        <f t="shared" si="7"/>
        <v>89.940928270042193</v>
      </c>
      <c r="F95" s="689">
        <f t="shared" si="5"/>
        <v>89.940928270042193</v>
      </c>
      <c r="G95" s="689">
        <f t="shared" si="6"/>
        <v>639.48</v>
      </c>
      <c r="H95" s="606" t="s">
        <v>543</v>
      </c>
      <c r="I95" s="686"/>
      <c r="J95" s="686"/>
      <c r="K95" s="697" t="s">
        <v>544</v>
      </c>
      <c r="L95" s="686"/>
      <c r="M95" s="606"/>
      <c r="N95" s="686"/>
      <c r="O95" s="686"/>
      <c r="P95" s="699"/>
      <c r="Q95" s="699"/>
      <c r="R95" s="699"/>
      <c r="S95" s="699"/>
      <c r="T95" s="707"/>
    </row>
    <row r="96" spans="1:20" hidden="1">
      <c r="A96" s="686"/>
      <c r="B96" s="564" t="s">
        <v>615</v>
      </c>
      <c r="C96" s="687"/>
      <c r="D96" s="688">
        <f>'[2]总投资-发采购-0411-GLP拆分场外费用(司调)'!G129</f>
        <v>955.589579477293</v>
      </c>
      <c r="E96" s="693">
        <f t="shared" si="7"/>
        <v>134.40078473660941</v>
      </c>
      <c r="F96" s="689">
        <f t="shared" si="5"/>
        <v>134.40078473660941</v>
      </c>
      <c r="G96" s="689">
        <f t="shared" si="6"/>
        <v>955.589579477293</v>
      </c>
      <c r="H96" s="606" t="s">
        <v>543</v>
      </c>
      <c r="I96" s="686"/>
      <c r="J96" s="686"/>
      <c r="K96" s="697" t="s">
        <v>544</v>
      </c>
      <c r="L96" s="686"/>
      <c r="M96" s="606"/>
      <c r="N96" s="686"/>
      <c r="O96" s="686"/>
      <c r="P96" s="699"/>
      <c r="Q96" s="699"/>
      <c r="R96" s="699"/>
      <c r="S96" s="699"/>
      <c r="T96" s="707"/>
    </row>
    <row r="97" spans="1:20" hidden="1">
      <c r="A97" s="686" t="s">
        <v>246</v>
      </c>
      <c r="B97" s="564" t="s">
        <v>616</v>
      </c>
      <c r="C97" s="687"/>
      <c r="D97" s="688">
        <f>'[2]总投资-发采购-0411-GLP拆分场外费用(司调)'!G130</f>
        <v>72</v>
      </c>
      <c r="E97" s="693">
        <f t="shared" si="7"/>
        <v>10.126582278481012</v>
      </c>
      <c r="F97" s="689">
        <f t="shared" si="5"/>
        <v>10.126582278481012</v>
      </c>
      <c r="G97" s="689">
        <f t="shared" si="6"/>
        <v>72</v>
      </c>
      <c r="H97" s="606" t="s">
        <v>543</v>
      </c>
      <c r="I97" s="686"/>
      <c r="J97" s="686"/>
      <c r="K97" s="697" t="s">
        <v>544</v>
      </c>
      <c r="L97" s="686"/>
      <c r="M97" s="606"/>
      <c r="N97" s="686"/>
      <c r="O97" s="686"/>
      <c r="P97" s="699"/>
      <c r="Q97" s="699"/>
      <c r="R97" s="699"/>
      <c r="S97" s="699"/>
      <c r="T97" s="707"/>
    </row>
    <row r="98" spans="1:20" hidden="1">
      <c r="A98" s="686"/>
      <c r="B98" s="564" t="s">
        <v>617</v>
      </c>
      <c r="C98" s="687"/>
      <c r="D98" s="688">
        <f>'[2]总投资-发采购-0411-GLP拆分场外费用(司调)'!G131</f>
        <v>1</v>
      </c>
      <c r="E98" s="693">
        <f t="shared" si="7"/>
        <v>0.14064697609001406</v>
      </c>
      <c r="F98" s="689">
        <f t="shared" si="5"/>
        <v>0.14064697609001406</v>
      </c>
      <c r="G98" s="689">
        <f t="shared" si="6"/>
        <v>1</v>
      </c>
      <c r="H98" s="606" t="s">
        <v>543</v>
      </c>
      <c r="I98" s="686"/>
      <c r="J98" s="686"/>
      <c r="K98" s="697" t="s">
        <v>544</v>
      </c>
      <c r="L98" s="686"/>
      <c r="M98" s="606"/>
      <c r="N98" s="686"/>
      <c r="O98" s="686"/>
      <c r="P98" s="699"/>
      <c r="Q98" s="699"/>
      <c r="R98" s="699"/>
      <c r="S98" s="699"/>
      <c r="T98" s="707"/>
    </row>
    <row r="99" spans="1:20" hidden="1">
      <c r="A99" s="686"/>
      <c r="B99" s="564" t="s">
        <v>618</v>
      </c>
      <c r="C99" s="687"/>
      <c r="D99" s="688">
        <f>'[2]总投资-发采购-0411-GLP拆分场外费用(司调)'!G132</f>
        <v>13</v>
      </c>
      <c r="E99" s="693">
        <f t="shared" si="7"/>
        <v>1.8284106891701828</v>
      </c>
      <c r="F99" s="689">
        <f t="shared" si="5"/>
        <v>1.8284106891701828</v>
      </c>
      <c r="G99" s="689">
        <f t="shared" si="6"/>
        <v>13</v>
      </c>
      <c r="H99" s="606" t="s">
        <v>543</v>
      </c>
      <c r="I99" s="686"/>
      <c r="J99" s="686"/>
      <c r="K99" s="697" t="s">
        <v>544</v>
      </c>
      <c r="L99" s="686"/>
      <c r="M99" s="606"/>
      <c r="N99" s="686"/>
      <c r="O99" s="686"/>
      <c r="P99" s="699"/>
      <c r="Q99" s="699"/>
      <c r="R99" s="699"/>
      <c r="S99" s="699"/>
      <c r="T99" s="707"/>
    </row>
    <row r="100" spans="1:20" hidden="1">
      <c r="A100" s="686"/>
      <c r="B100" s="564" t="s">
        <v>619</v>
      </c>
      <c r="C100" s="687"/>
      <c r="D100" s="688">
        <f>'[2]总投资-发采购-0411-GLP拆分场外费用(司调)'!G133</f>
        <v>58</v>
      </c>
      <c r="E100" s="693">
        <f t="shared" si="7"/>
        <v>8.157524613220815</v>
      </c>
      <c r="F100" s="689">
        <f t="shared" si="5"/>
        <v>8.157524613220815</v>
      </c>
      <c r="G100" s="689">
        <f t="shared" si="6"/>
        <v>58</v>
      </c>
      <c r="H100" s="606" t="s">
        <v>543</v>
      </c>
      <c r="I100" s="686"/>
      <c r="J100" s="686"/>
      <c r="K100" s="697" t="s">
        <v>544</v>
      </c>
      <c r="L100" s="686"/>
      <c r="M100" s="606"/>
      <c r="N100" s="686"/>
      <c r="O100" s="686"/>
      <c r="P100" s="699"/>
      <c r="Q100" s="699"/>
      <c r="R100" s="699"/>
      <c r="S100" s="699"/>
      <c r="T100" s="707"/>
    </row>
    <row r="101" spans="1:20" hidden="1">
      <c r="A101" s="686">
        <v>2.9</v>
      </c>
      <c r="B101" s="564" t="s">
        <v>620</v>
      </c>
      <c r="C101" s="687"/>
      <c r="D101" s="688">
        <f>'[2]总投资-发采购-0411-GLP拆分场外费用(司调)'!G95</f>
        <v>13789.8726650923</v>
      </c>
      <c r="E101" s="693">
        <f t="shared" si="7"/>
        <v>1939.5038910115752</v>
      </c>
      <c r="F101" s="689">
        <f t="shared" si="5"/>
        <v>1939.5038910115752</v>
      </c>
      <c r="G101" s="689">
        <f t="shared" si="6"/>
        <v>13789.8726650923</v>
      </c>
      <c r="H101" s="606" t="s">
        <v>543</v>
      </c>
      <c r="I101" s="686"/>
      <c r="J101" s="686"/>
      <c r="K101" s="697" t="s">
        <v>544</v>
      </c>
      <c r="L101" s="686"/>
      <c r="M101" s="606"/>
      <c r="N101" s="686"/>
      <c r="O101" s="686"/>
      <c r="P101" s="699"/>
      <c r="Q101" s="699"/>
      <c r="R101" s="699"/>
      <c r="S101" s="699"/>
      <c r="T101" s="707"/>
    </row>
    <row r="102" spans="1:20" hidden="1">
      <c r="A102" s="686" t="s">
        <v>248</v>
      </c>
      <c r="B102" s="564" t="s">
        <v>621</v>
      </c>
      <c r="C102" s="687"/>
      <c r="D102" s="688">
        <f>'[2]总投资-发采购-0411-GLP拆分场外费用(司调)'!G96</f>
        <v>10541.2785526889</v>
      </c>
      <c r="E102" s="693">
        <f t="shared" si="7"/>
        <v>1482.5989525582138</v>
      </c>
      <c r="F102" s="689">
        <f t="shared" si="5"/>
        <v>1482.5989525582138</v>
      </c>
      <c r="G102" s="689">
        <f t="shared" si="6"/>
        <v>10541.2785526889</v>
      </c>
      <c r="H102" s="606" t="s">
        <v>543</v>
      </c>
      <c r="I102" s="686"/>
      <c r="J102" s="686"/>
      <c r="K102" s="697" t="s">
        <v>544</v>
      </c>
      <c r="L102" s="686"/>
      <c r="M102" s="606"/>
      <c r="N102" s="686"/>
      <c r="O102" s="686"/>
      <c r="P102" s="699"/>
      <c r="Q102" s="699"/>
      <c r="R102" s="699"/>
      <c r="S102" s="699"/>
      <c r="T102" s="707"/>
    </row>
    <row r="103" spans="1:20" hidden="1">
      <c r="A103" s="686" t="s">
        <v>249</v>
      </c>
      <c r="B103" s="564" t="s">
        <v>622</v>
      </c>
      <c r="C103" s="687"/>
      <c r="D103" s="688">
        <f>'[2]总投资-发采购-0411-GLP拆分场外费用(司调)'!G97</f>
        <v>35.581440000000001</v>
      </c>
      <c r="E103" s="693">
        <f t="shared" si="7"/>
        <v>5.0044219409282702</v>
      </c>
      <c r="F103" s="689">
        <f t="shared" si="5"/>
        <v>5.0044219409282702</v>
      </c>
      <c r="G103" s="689">
        <f t="shared" si="6"/>
        <v>35.581440000000001</v>
      </c>
      <c r="H103" s="606" t="s">
        <v>543</v>
      </c>
      <c r="I103" s="686"/>
      <c r="J103" s="686"/>
      <c r="K103" s="697" t="s">
        <v>544</v>
      </c>
      <c r="L103" s="686"/>
      <c r="M103" s="606"/>
      <c r="N103" s="686"/>
      <c r="O103" s="686"/>
      <c r="P103" s="699"/>
      <c r="Q103" s="699"/>
      <c r="R103" s="699"/>
      <c r="S103" s="699"/>
      <c r="T103" s="707"/>
    </row>
    <row r="104" spans="1:20" hidden="1">
      <c r="A104" s="686" t="s">
        <v>250</v>
      </c>
      <c r="B104" s="564" t="s">
        <v>623</v>
      </c>
      <c r="C104" s="687"/>
      <c r="D104" s="688">
        <f>'[2]总投资-发采购-0411-GLP拆分场外费用(司调)'!G98</f>
        <v>320.23295999999999</v>
      </c>
      <c r="E104" s="693">
        <f t="shared" si="7"/>
        <v>45.039797468354429</v>
      </c>
      <c r="F104" s="689">
        <f t="shared" si="5"/>
        <v>45.039797468354429</v>
      </c>
      <c r="G104" s="689">
        <f t="shared" si="6"/>
        <v>320.23295999999999</v>
      </c>
      <c r="H104" s="606" t="s">
        <v>543</v>
      </c>
      <c r="I104" s="686"/>
      <c r="J104" s="686"/>
      <c r="K104" s="697" t="s">
        <v>544</v>
      </c>
      <c r="L104" s="686"/>
      <c r="M104" s="606"/>
      <c r="N104" s="686"/>
      <c r="O104" s="686"/>
      <c r="P104" s="699"/>
      <c r="Q104" s="699"/>
      <c r="R104" s="699"/>
      <c r="S104" s="699"/>
      <c r="T104" s="707"/>
    </row>
    <row r="105" spans="1:20" hidden="1">
      <c r="A105" s="686" t="s">
        <v>251</v>
      </c>
      <c r="B105" s="564" t="s">
        <v>624</v>
      </c>
      <c r="C105" s="687"/>
      <c r="D105" s="688">
        <f>'[2]总投资-发采购-0411-GLP拆分场外费用(司调)'!G99</f>
        <v>249.07007999999999</v>
      </c>
      <c r="E105" s="693">
        <f t="shared" si="7"/>
        <v>35.030953586497887</v>
      </c>
      <c r="F105" s="689">
        <f t="shared" si="5"/>
        <v>35.030953586497887</v>
      </c>
      <c r="G105" s="689">
        <f t="shared" si="6"/>
        <v>249.07007999999999</v>
      </c>
      <c r="H105" s="606" t="s">
        <v>543</v>
      </c>
      <c r="I105" s="686"/>
      <c r="J105" s="686"/>
      <c r="K105" s="697" t="s">
        <v>544</v>
      </c>
      <c r="L105" s="686"/>
      <c r="M105" s="606"/>
      <c r="N105" s="686"/>
      <c r="O105" s="686"/>
      <c r="P105" s="699"/>
      <c r="Q105" s="699"/>
      <c r="R105" s="699"/>
      <c r="S105" s="699"/>
      <c r="T105" s="707"/>
    </row>
    <row r="106" spans="1:20" hidden="1">
      <c r="A106" s="686" t="s">
        <v>252</v>
      </c>
      <c r="B106" s="564" t="s">
        <v>625</v>
      </c>
      <c r="C106" s="687"/>
      <c r="D106" s="688">
        <f>'[2]总投资-发采购-0411-GLP拆分场外费用(司调)'!G100</f>
        <v>551.51232000000005</v>
      </c>
      <c r="E106" s="693">
        <f t="shared" si="7"/>
        <v>77.568540084388189</v>
      </c>
      <c r="F106" s="689">
        <f t="shared" si="5"/>
        <v>77.568540084388189</v>
      </c>
      <c r="G106" s="689">
        <f t="shared" si="6"/>
        <v>551.51232000000005</v>
      </c>
      <c r="H106" s="606" t="s">
        <v>543</v>
      </c>
      <c r="I106" s="686"/>
      <c r="J106" s="686"/>
      <c r="K106" s="697" t="s">
        <v>544</v>
      </c>
      <c r="L106" s="686"/>
      <c r="M106" s="606"/>
      <c r="N106" s="686"/>
      <c r="O106" s="686"/>
      <c r="P106" s="699"/>
      <c r="Q106" s="699"/>
      <c r="R106" s="699"/>
      <c r="S106" s="699"/>
      <c r="T106" s="707"/>
    </row>
    <row r="107" spans="1:20" hidden="1">
      <c r="A107" s="686" t="s">
        <v>253</v>
      </c>
      <c r="B107" s="564" t="s">
        <v>626</v>
      </c>
      <c r="C107" s="687"/>
      <c r="D107" s="688">
        <f>'[2]总投资-发采购-0411-GLP拆分场外费用(司调)'!G101</f>
        <v>151.97692630333501</v>
      </c>
      <c r="E107" s="693">
        <f t="shared" si="7"/>
        <v>21.375095120018987</v>
      </c>
      <c r="F107" s="689">
        <f t="shared" si="5"/>
        <v>21.375095120018987</v>
      </c>
      <c r="G107" s="689">
        <f t="shared" si="6"/>
        <v>151.97692630333501</v>
      </c>
      <c r="H107" s="606" t="s">
        <v>543</v>
      </c>
      <c r="I107" s="686"/>
      <c r="J107" s="686"/>
      <c r="K107" s="697" t="s">
        <v>544</v>
      </c>
      <c r="L107" s="686"/>
      <c r="M107" s="606"/>
      <c r="N107" s="686"/>
      <c r="O107" s="686"/>
      <c r="P107" s="699"/>
      <c r="Q107" s="699"/>
      <c r="R107" s="699"/>
      <c r="S107" s="699"/>
      <c r="T107" s="707"/>
    </row>
    <row r="108" spans="1:20" hidden="1">
      <c r="A108" s="686" t="s">
        <v>254</v>
      </c>
      <c r="B108" s="564" t="s">
        <v>627</v>
      </c>
      <c r="C108" s="687"/>
      <c r="D108" s="688">
        <f>'[2]总投资-发采购-0411-GLP拆分场外费用(司调)'!G102</f>
        <v>555.96</v>
      </c>
      <c r="E108" s="693">
        <f t="shared" si="7"/>
        <v>78.194092827004226</v>
      </c>
      <c r="F108" s="689">
        <f t="shared" si="5"/>
        <v>78.194092827004226</v>
      </c>
      <c r="G108" s="689">
        <f t="shared" si="6"/>
        <v>555.96</v>
      </c>
      <c r="H108" s="606" t="s">
        <v>543</v>
      </c>
      <c r="I108" s="686"/>
      <c r="J108" s="686"/>
      <c r="K108" s="697" t="s">
        <v>544</v>
      </c>
      <c r="L108" s="686"/>
      <c r="M108" s="606"/>
      <c r="N108" s="686"/>
      <c r="O108" s="686"/>
      <c r="P108" s="699"/>
      <c r="Q108" s="699"/>
      <c r="R108" s="699"/>
      <c r="S108" s="699"/>
      <c r="T108" s="707"/>
    </row>
    <row r="109" spans="1:20" hidden="1">
      <c r="A109" s="686"/>
      <c r="B109" s="564" t="s">
        <v>628</v>
      </c>
      <c r="C109" s="687"/>
      <c r="D109" s="688">
        <f>'[2]总投资-发采购-0411-GLP拆分场外费用(司调)'!G103</f>
        <v>1319.26038610009</v>
      </c>
      <c r="E109" s="693">
        <f t="shared" si="7"/>
        <v>185.54998398032208</v>
      </c>
      <c r="F109" s="689">
        <f t="shared" si="5"/>
        <v>185.54998398032208</v>
      </c>
      <c r="G109" s="689">
        <f t="shared" si="6"/>
        <v>1319.26038610009</v>
      </c>
      <c r="H109" s="606" t="s">
        <v>543</v>
      </c>
      <c r="I109" s="686"/>
      <c r="J109" s="686"/>
      <c r="K109" s="697" t="s">
        <v>544</v>
      </c>
      <c r="L109" s="686"/>
      <c r="M109" s="606"/>
      <c r="N109" s="686"/>
      <c r="O109" s="686"/>
      <c r="P109" s="699"/>
      <c r="Q109" s="699"/>
      <c r="R109" s="699"/>
      <c r="S109" s="699"/>
      <c r="T109" s="707"/>
    </row>
    <row r="110" spans="1:20" hidden="1">
      <c r="A110" s="686" t="s">
        <v>255</v>
      </c>
      <c r="B110" s="564" t="s">
        <v>629</v>
      </c>
      <c r="C110" s="687"/>
      <c r="D110" s="688">
        <f>'[2]总投资-发采购-0411-GLP拆分场外费用(司调)'!G104</f>
        <v>65</v>
      </c>
      <c r="E110" s="693">
        <f t="shared" si="7"/>
        <v>9.1420534458509142</v>
      </c>
      <c r="F110" s="689">
        <f t="shared" si="5"/>
        <v>9.1420534458509142</v>
      </c>
      <c r="G110" s="689">
        <f t="shared" si="6"/>
        <v>65</v>
      </c>
      <c r="H110" s="606" t="s">
        <v>543</v>
      </c>
      <c r="I110" s="686"/>
      <c r="J110" s="686"/>
      <c r="K110" s="697" t="s">
        <v>544</v>
      </c>
      <c r="L110" s="686"/>
      <c r="M110" s="606"/>
      <c r="N110" s="686"/>
      <c r="O110" s="686"/>
      <c r="P110" s="699"/>
      <c r="Q110" s="699"/>
      <c r="R110" s="699"/>
      <c r="S110" s="699"/>
      <c r="T110" s="707"/>
    </row>
    <row r="111" spans="1:20" hidden="1">
      <c r="A111" s="686"/>
      <c r="B111" s="564" t="s">
        <v>630</v>
      </c>
      <c r="C111" s="687"/>
      <c r="D111" s="688">
        <f>'[2]总投资-发采购-0411-GLP拆分场外费用(司调)'!G105</f>
        <v>1</v>
      </c>
      <c r="E111" s="693">
        <f t="shared" si="7"/>
        <v>0.14064697609001406</v>
      </c>
      <c r="F111" s="689">
        <f t="shared" si="5"/>
        <v>0.14064697609001406</v>
      </c>
      <c r="G111" s="689">
        <f t="shared" si="6"/>
        <v>1</v>
      </c>
      <c r="H111" s="606" t="s">
        <v>543</v>
      </c>
      <c r="I111" s="686"/>
      <c r="J111" s="686"/>
      <c r="K111" s="697" t="s">
        <v>544</v>
      </c>
      <c r="L111" s="686"/>
      <c r="M111" s="606"/>
      <c r="N111" s="686"/>
      <c r="O111" s="686"/>
      <c r="P111" s="699"/>
      <c r="Q111" s="699"/>
      <c r="R111" s="699"/>
      <c r="S111" s="699"/>
      <c r="T111" s="707"/>
    </row>
    <row r="112" spans="1:20" hidden="1">
      <c r="A112" s="686"/>
      <c r="B112" s="564" t="s">
        <v>631</v>
      </c>
      <c r="C112" s="687"/>
      <c r="D112" s="688">
        <f>'[2]总投资-发采购-0411-GLP拆分场外费用(司调)'!G106</f>
        <v>11</v>
      </c>
      <c r="E112" s="693">
        <f t="shared" si="7"/>
        <v>1.5471167369901546</v>
      </c>
      <c r="F112" s="689">
        <f t="shared" si="5"/>
        <v>1.5471167369901546</v>
      </c>
      <c r="G112" s="689">
        <f t="shared" si="6"/>
        <v>11</v>
      </c>
      <c r="H112" s="606" t="s">
        <v>543</v>
      </c>
      <c r="I112" s="686"/>
      <c r="J112" s="686"/>
      <c r="K112" s="697" t="s">
        <v>544</v>
      </c>
      <c r="L112" s="686"/>
      <c r="M112" s="606"/>
      <c r="N112" s="686"/>
      <c r="O112" s="686"/>
      <c r="P112" s="699"/>
      <c r="Q112" s="699"/>
      <c r="R112" s="699"/>
      <c r="S112" s="699"/>
      <c r="T112" s="707"/>
    </row>
    <row r="113" spans="1:20" hidden="1">
      <c r="A113" s="686"/>
      <c r="B113" s="564" t="s">
        <v>632</v>
      </c>
      <c r="C113" s="687"/>
      <c r="D113" s="688">
        <f>'[2]总投资-发采购-0411-GLP拆分场外费用(司调)'!G107</f>
        <v>53</v>
      </c>
      <c r="E113" s="693">
        <f t="shared" si="7"/>
        <v>7.4542897327707447</v>
      </c>
      <c r="F113" s="689">
        <f t="shared" si="5"/>
        <v>7.4542897327707447</v>
      </c>
      <c r="G113" s="689">
        <f t="shared" si="6"/>
        <v>53</v>
      </c>
      <c r="H113" s="606" t="s">
        <v>543</v>
      </c>
      <c r="I113" s="686"/>
      <c r="J113" s="686"/>
      <c r="K113" s="697" t="s">
        <v>544</v>
      </c>
      <c r="L113" s="686"/>
      <c r="M113" s="606"/>
      <c r="N113" s="686"/>
      <c r="O113" s="686"/>
      <c r="P113" s="699"/>
      <c r="Q113" s="699"/>
      <c r="R113" s="699"/>
      <c r="S113" s="699"/>
      <c r="T113" s="707"/>
    </row>
    <row r="114" spans="1:20" hidden="1">
      <c r="A114" s="686" t="s">
        <v>256</v>
      </c>
      <c r="B114" s="564" t="s">
        <v>633</v>
      </c>
      <c r="C114" s="687"/>
      <c r="D114" s="688">
        <f>'[2]总投资-发采购-0411-GLP拆分场外费用(司调)'!G199</f>
        <v>9618.8799999999992</v>
      </c>
      <c r="E114" s="693">
        <f t="shared" ref="E114:E118" si="8">D114/$A$3</f>
        <v>1352.8663853727144</v>
      </c>
      <c r="F114" s="689">
        <f t="shared" si="5"/>
        <v>1352.8663853727144</v>
      </c>
      <c r="G114" s="689">
        <f t="shared" si="6"/>
        <v>9618.8799999999992</v>
      </c>
      <c r="H114" s="606" t="s">
        <v>543</v>
      </c>
      <c r="I114" s="686"/>
      <c r="J114" s="686"/>
      <c r="K114" s="697" t="s">
        <v>544</v>
      </c>
      <c r="L114" s="686"/>
      <c r="M114" s="606"/>
      <c r="N114" s="686"/>
      <c r="O114" s="686"/>
      <c r="P114" s="699"/>
      <c r="Q114" s="699"/>
      <c r="R114" s="699"/>
      <c r="S114" s="699"/>
      <c r="T114" s="707"/>
    </row>
    <row r="115" spans="1:20" hidden="1">
      <c r="A115" s="686" t="s">
        <v>258</v>
      </c>
      <c r="B115" s="564" t="s">
        <v>634</v>
      </c>
      <c r="C115" s="687"/>
      <c r="D115" s="688">
        <f>'[2]总投资-发采购-0411-GLP拆分场外费用(司调)'!G200</f>
        <v>9330.3135999999995</v>
      </c>
      <c r="E115" s="693">
        <f t="shared" si="8"/>
        <v>1312.280393811533</v>
      </c>
      <c r="F115" s="689">
        <f t="shared" si="5"/>
        <v>1312.280393811533</v>
      </c>
      <c r="G115" s="689">
        <f t="shared" si="6"/>
        <v>9330.3135999999995</v>
      </c>
      <c r="H115" s="606" t="s">
        <v>543</v>
      </c>
      <c r="I115" s="686"/>
      <c r="J115" s="686"/>
      <c r="K115" s="697" t="s">
        <v>544</v>
      </c>
      <c r="L115" s="686"/>
      <c r="M115" s="606"/>
      <c r="N115" s="686"/>
      <c r="O115" s="686"/>
      <c r="P115" s="699"/>
      <c r="Q115" s="699"/>
      <c r="R115" s="699"/>
      <c r="S115" s="699"/>
      <c r="T115" s="707"/>
    </row>
    <row r="116" spans="1:20" hidden="1">
      <c r="A116" s="686" t="s">
        <v>260</v>
      </c>
      <c r="B116" s="564" t="s">
        <v>635</v>
      </c>
      <c r="C116" s="687"/>
      <c r="D116" s="688">
        <f>'[2]总投资-发采购-0411-GLP拆分场外费用(司调)'!G201</f>
        <v>288.56639999999999</v>
      </c>
      <c r="E116" s="693">
        <f t="shared" si="8"/>
        <v>40.58599156118143</v>
      </c>
      <c r="F116" s="689">
        <f t="shared" si="5"/>
        <v>40.58599156118143</v>
      </c>
      <c r="G116" s="689">
        <f t="shared" si="6"/>
        <v>288.56639999999999</v>
      </c>
      <c r="H116" s="606" t="s">
        <v>543</v>
      </c>
      <c r="I116" s="686"/>
      <c r="J116" s="686"/>
      <c r="K116" s="697" t="s">
        <v>544</v>
      </c>
      <c r="L116" s="686"/>
      <c r="M116" s="606"/>
      <c r="N116" s="686"/>
      <c r="O116" s="686"/>
      <c r="P116" s="699"/>
      <c r="Q116" s="699"/>
      <c r="R116" s="699"/>
      <c r="S116" s="699"/>
      <c r="T116" s="707"/>
    </row>
    <row r="117" spans="1:20">
      <c r="A117" s="606" t="s">
        <v>38</v>
      </c>
      <c r="B117" s="564" t="s">
        <v>636</v>
      </c>
      <c r="C117" s="683" t="s">
        <v>637</v>
      </c>
      <c r="D117" s="684">
        <f>SUM('[2]总投资-发采购-0411-GLP拆分场外费用(司调)'!G134,'[2]总投资-发采购-0411-GLP拆分场外费用(司调)'!G147,'[2]总投资-发采购-0411-GLP拆分场外费用(司调)'!G160)</f>
        <v>47558.926001233798</v>
      </c>
      <c r="E117" s="695">
        <f t="shared" si="8"/>
        <v>6689.0191281622783</v>
      </c>
      <c r="F117" s="685">
        <f t="shared" si="5"/>
        <v>6689.0191281622783</v>
      </c>
      <c r="G117" s="685">
        <f t="shared" si="6"/>
        <v>47558.926001233798</v>
      </c>
      <c r="H117" s="606" t="s">
        <v>543</v>
      </c>
      <c r="I117" s="606" t="s">
        <v>79</v>
      </c>
      <c r="J117" s="606">
        <v>18</v>
      </c>
      <c r="K117" s="697" t="s">
        <v>31</v>
      </c>
      <c r="L117" s="606" t="s">
        <v>135</v>
      </c>
      <c r="M117" s="606"/>
      <c r="N117" s="606"/>
      <c r="O117" s="606"/>
      <c r="P117" s="698" t="s">
        <v>225</v>
      </c>
      <c r="Q117" s="698" t="s">
        <v>226</v>
      </c>
      <c r="R117" s="698" t="s">
        <v>714</v>
      </c>
      <c r="S117" s="698" t="s">
        <v>228</v>
      </c>
      <c r="T117" s="697"/>
    </row>
    <row r="118" spans="1:20" hidden="1">
      <c r="A118" s="686">
        <v>2.12</v>
      </c>
      <c r="B118" s="690" t="s">
        <v>720</v>
      </c>
      <c r="C118" s="687"/>
      <c r="D118" s="688">
        <f>'[2]总投资-发采购-0411-GLP拆分场外费用(司调)'!G134</f>
        <v>15098.998477818201</v>
      </c>
      <c r="E118" s="693">
        <f t="shared" si="8"/>
        <v>2123.6284778928552</v>
      </c>
      <c r="F118" s="689">
        <f t="shared" si="5"/>
        <v>2123.6284778928552</v>
      </c>
      <c r="G118" s="689">
        <f t="shared" si="6"/>
        <v>15098.998477818201</v>
      </c>
      <c r="H118" s="606" t="s">
        <v>543</v>
      </c>
      <c r="I118" s="686"/>
      <c r="J118" s="686"/>
      <c r="K118" s="697" t="s">
        <v>544</v>
      </c>
      <c r="L118" s="686"/>
      <c r="M118" s="606"/>
      <c r="N118" s="686"/>
      <c r="O118" s="686"/>
      <c r="P118" s="699"/>
      <c r="Q118" s="699"/>
      <c r="R118" s="699"/>
      <c r="S118" s="699"/>
      <c r="T118" s="707"/>
    </row>
    <row r="119" spans="1:20" hidden="1">
      <c r="A119" s="686" t="s">
        <v>265</v>
      </c>
      <c r="B119" s="690" t="s">
        <v>677</v>
      </c>
      <c r="C119" s="687"/>
      <c r="D119" s="688">
        <f>'[2]总投资-发采购-0411-GLP拆分场外费用(司调)'!G135</f>
        <v>12124.859358359399</v>
      </c>
      <c r="E119" s="693">
        <f t="shared" ref="E119:E182" si="9">D119/$A$3</f>
        <v>1705.3248042699577</v>
      </c>
      <c r="F119" s="689">
        <f t="shared" si="5"/>
        <v>1705.3248042699577</v>
      </c>
      <c r="G119" s="689">
        <f t="shared" si="6"/>
        <v>12124.859358359399</v>
      </c>
      <c r="H119" s="606" t="s">
        <v>543</v>
      </c>
      <c r="I119" s="686"/>
      <c r="J119" s="686"/>
      <c r="K119" s="697" t="s">
        <v>544</v>
      </c>
      <c r="L119" s="686"/>
      <c r="M119" s="606"/>
      <c r="N119" s="686"/>
      <c r="O119" s="686"/>
      <c r="P119" s="699"/>
      <c r="Q119" s="699"/>
      <c r="R119" s="699"/>
      <c r="S119" s="699"/>
      <c r="T119" s="707"/>
    </row>
    <row r="120" spans="1:20" hidden="1">
      <c r="A120" s="686" t="s">
        <v>266</v>
      </c>
      <c r="B120" s="690" t="s">
        <v>678</v>
      </c>
      <c r="C120" s="687"/>
      <c r="D120" s="688">
        <f>'[2]总投资-发采购-0411-GLP拆分场外费用(司调)'!G136</f>
        <v>40.926720000000003</v>
      </c>
      <c r="E120" s="693">
        <f t="shared" si="9"/>
        <v>5.7562194092827008</v>
      </c>
      <c r="F120" s="689">
        <f t="shared" si="5"/>
        <v>5.7562194092827008</v>
      </c>
      <c r="G120" s="689">
        <f t="shared" si="6"/>
        <v>40.926720000000003</v>
      </c>
      <c r="H120" s="606" t="s">
        <v>543</v>
      </c>
      <c r="I120" s="686"/>
      <c r="J120" s="686"/>
      <c r="K120" s="697" t="s">
        <v>544</v>
      </c>
      <c r="L120" s="686"/>
      <c r="M120" s="606"/>
      <c r="N120" s="686"/>
      <c r="O120" s="686"/>
      <c r="P120" s="699"/>
      <c r="Q120" s="699"/>
      <c r="R120" s="699"/>
      <c r="S120" s="699"/>
      <c r="T120" s="707"/>
    </row>
    <row r="121" spans="1:20" hidden="1">
      <c r="A121" s="686" t="s">
        <v>267</v>
      </c>
      <c r="B121" s="690" t="s">
        <v>679</v>
      </c>
      <c r="C121" s="687"/>
      <c r="D121" s="688">
        <f>'[2]总投资-发采购-0411-GLP拆分场外费用(司调)'!G137</f>
        <v>368.34048000000001</v>
      </c>
      <c r="E121" s="693">
        <f t="shared" si="9"/>
        <v>51.805974683544306</v>
      </c>
      <c r="F121" s="689">
        <f t="shared" si="5"/>
        <v>51.805974683544306</v>
      </c>
      <c r="G121" s="689">
        <f t="shared" si="6"/>
        <v>368.34048000000001</v>
      </c>
      <c r="H121" s="606" t="s">
        <v>543</v>
      </c>
      <c r="I121" s="686"/>
      <c r="J121" s="686"/>
      <c r="K121" s="697" t="s">
        <v>544</v>
      </c>
      <c r="L121" s="686"/>
      <c r="M121" s="606"/>
      <c r="N121" s="686"/>
      <c r="O121" s="686"/>
      <c r="P121" s="699"/>
      <c r="Q121" s="699"/>
      <c r="R121" s="699"/>
      <c r="S121" s="699"/>
      <c r="T121" s="707"/>
    </row>
    <row r="122" spans="1:20" hidden="1">
      <c r="A122" s="686" t="s">
        <v>268</v>
      </c>
      <c r="B122" s="690" t="s">
        <v>680</v>
      </c>
      <c r="C122" s="687"/>
      <c r="D122" s="688">
        <f>'[2]总投资-发采购-0411-GLP拆分场外费用(司调)'!G138</f>
        <v>286.48703999999998</v>
      </c>
      <c r="E122" s="693">
        <f t="shared" si="9"/>
        <v>40.293535864978899</v>
      </c>
      <c r="F122" s="689">
        <f t="shared" si="5"/>
        <v>40.293535864978899</v>
      </c>
      <c r="G122" s="689">
        <f t="shared" si="6"/>
        <v>286.48703999999998</v>
      </c>
      <c r="H122" s="606" t="s">
        <v>543</v>
      </c>
      <c r="I122" s="686"/>
      <c r="J122" s="686"/>
      <c r="K122" s="697" t="s">
        <v>544</v>
      </c>
      <c r="L122" s="686"/>
      <c r="M122" s="606"/>
      <c r="N122" s="686"/>
      <c r="O122" s="686"/>
      <c r="P122" s="699"/>
      <c r="Q122" s="699"/>
      <c r="R122" s="699"/>
      <c r="S122" s="699"/>
      <c r="T122" s="707"/>
    </row>
    <row r="123" spans="1:20" hidden="1">
      <c r="A123" s="686" t="s">
        <v>269</v>
      </c>
      <c r="B123" s="690" t="s">
        <v>681</v>
      </c>
      <c r="C123" s="687"/>
      <c r="D123" s="688">
        <f>'[2]总投资-发采购-0411-GLP拆分场外费用(司调)'!G139</f>
        <v>634.36415999999997</v>
      </c>
      <c r="E123" s="693">
        <f t="shared" si="9"/>
        <v>89.221400843881852</v>
      </c>
      <c r="F123" s="689">
        <f t="shared" si="5"/>
        <v>89.221400843881852</v>
      </c>
      <c r="G123" s="689">
        <f t="shared" si="6"/>
        <v>634.36415999999997</v>
      </c>
      <c r="H123" s="606" t="s">
        <v>543</v>
      </c>
      <c r="I123" s="686"/>
      <c r="J123" s="686"/>
      <c r="K123" s="697" t="s">
        <v>544</v>
      </c>
      <c r="L123" s="686"/>
      <c r="M123" s="606"/>
      <c r="N123" s="686"/>
      <c r="O123" s="686"/>
      <c r="P123" s="699"/>
      <c r="Q123" s="699"/>
      <c r="R123" s="699"/>
      <c r="S123" s="699"/>
      <c r="T123" s="707"/>
    </row>
    <row r="124" spans="1:20" hidden="1">
      <c r="A124" s="686" t="s">
        <v>270</v>
      </c>
      <c r="B124" s="690" t="s">
        <v>682</v>
      </c>
      <c r="C124" s="687"/>
      <c r="D124" s="688">
        <f>'[2]总投资-发采购-0411-GLP拆分场外费用(司调)'!G140</f>
        <v>174.807908541004</v>
      </c>
      <c r="E124" s="693">
        <f t="shared" si="9"/>
        <v>24.586203732911954</v>
      </c>
      <c r="F124" s="689">
        <f t="shared" si="5"/>
        <v>24.586203732911954</v>
      </c>
      <c r="G124" s="689">
        <f t="shared" si="6"/>
        <v>174.807908541004</v>
      </c>
      <c r="H124" s="606" t="s">
        <v>543</v>
      </c>
      <c r="I124" s="686"/>
      <c r="J124" s="686"/>
      <c r="K124" s="697" t="s">
        <v>544</v>
      </c>
      <c r="L124" s="686"/>
      <c r="M124" s="606"/>
      <c r="N124" s="686"/>
      <c r="O124" s="686"/>
      <c r="P124" s="699"/>
      <c r="Q124" s="699"/>
      <c r="R124" s="699"/>
      <c r="S124" s="699"/>
      <c r="T124" s="707"/>
    </row>
    <row r="125" spans="1:20" hidden="1">
      <c r="A125" s="686" t="s">
        <v>271</v>
      </c>
      <c r="B125" s="690" t="s">
        <v>683</v>
      </c>
      <c r="C125" s="687"/>
      <c r="D125" s="688">
        <f>'[2]总投资-发采购-0411-GLP拆分场外费用(司调)'!G141</f>
        <v>639.48</v>
      </c>
      <c r="E125" s="693">
        <f t="shared" si="9"/>
        <v>89.940928270042193</v>
      </c>
      <c r="F125" s="689">
        <f t="shared" si="5"/>
        <v>89.940928270042193</v>
      </c>
      <c r="G125" s="689">
        <f t="shared" si="6"/>
        <v>639.48</v>
      </c>
      <c r="H125" s="606" t="s">
        <v>543</v>
      </c>
      <c r="I125" s="686"/>
      <c r="J125" s="686"/>
      <c r="K125" s="697" t="s">
        <v>544</v>
      </c>
      <c r="L125" s="686"/>
      <c r="M125" s="606"/>
      <c r="N125" s="686"/>
      <c r="O125" s="686"/>
      <c r="P125" s="699"/>
      <c r="Q125" s="699"/>
      <c r="R125" s="699"/>
      <c r="S125" s="699"/>
      <c r="T125" s="707"/>
    </row>
    <row r="126" spans="1:20" hidden="1">
      <c r="A126" s="686"/>
      <c r="B126" s="690" t="s">
        <v>684</v>
      </c>
      <c r="C126" s="687"/>
      <c r="D126" s="688">
        <f>'[2]总投资-发采购-0411-GLP拆分场外费用(司调)'!G142</f>
        <v>757.73281091787499</v>
      </c>
      <c r="E126" s="693">
        <f t="shared" si="9"/>
        <v>106.5728285397855</v>
      </c>
      <c r="F126" s="689">
        <f t="shared" si="5"/>
        <v>106.5728285397855</v>
      </c>
      <c r="G126" s="689">
        <f t="shared" si="6"/>
        <v>757.73281091787499</v>
      </c>
      <c r="H126" s="606" t="s">
        <v>543</v>
      </c>
      <c r="I126" s="686"/>
      <c r="J126" s="686"/>
      <c r="K126" s="697" t="s">
        <v>544</v>
      </c>
      <c r="L126" s="686"/>
      <c r="M126" s="606"/>
      <c r="N126" s="686"/>
      <c r="O126" s="686"/>
      <c r="P126" s="699"/>
      <c r="Q126" s="699"/>
      <c r="R126" s="699"/>
      <c r="S126" s="699"/>
      <c r="T126" s="707"/>
    </row>
    <row r="127" spans="1:20" hidden="1">
      <c r="A127" s="686" t="s">
        <v>272</v>
      </c>
      <c r="B127" s="690" t="s">
        <v>685</v>
      </c>
      <c r="C127" s="687"/>
      <c r="D127" s="688">
        <f>'[2]总投资-发采购-0411-GLP拆分场外费用(司调)'!G143</f>
        <v>72</v>
      </c>
      <c r="E127" s="693">
        <f t="shared" si="9"/>
        <v>10.126582278481012</v>
      </c>
      <c r="F127" s="689">
        <f t="shared" si="5"/>
        <v>10.126582278481012</v>
      </c>
      <c r="G127" s="689">
        <f t="shared" si="6"/>
        <v>72</v>
      </c>
      <c r="H127" s="606" t="s">
        <v>543</v>
      </c>
      <c r="I127" s="686"/>
      <c r="J127" s="686"/>
      <c r="K127" s="697" t="s">
        <v>544</v>
      </c>
      <c r="L127" s="686"/>
      <c r="M127" s="606"/>
      <c r="N127" s="686"/>
      <c r="O127" s="686"/>
      <c r="P127" s="699"/>
      <c r="Q127" s="699"/>
      <c r="R127" s="699"/>
      <c r="S127" s="699"/>
      <c r="T127" s="707"/>
    </row>
    <row r="128" spans="1:20" hidden="1">
      <c r="A128" s="686"/>
      <c r="B128" s="690" t="s">
        <v>686</v>
      </c>
      <c r="C128" s="687"/>
      <c r="D128" s="688">
        <f>'[2]总投资-发采购-0411-GLP拆分场外费用(司调)'!G144</f>
        <v>1</v>
      </c>
      <c r="E128" s="693">
        <f t="shared" si="9"/>
        <v>0.14064697609001406</v>
      </c>
      <c r="F128" s="689">
        <f t="shared" si="5"/>
        <v>0.14064697609001406</v>
      </c>
      <c r="G128" s="689">
        <f t="shared" si="6"/>
        <v>1</v>
      </c>
      <c r="H128" s="606" t="s">
        <v>543</v>
      </c>
      <c r="I128" s="686"/>
      <c r="J128" s="686"/>
      <c r="K128" s="697" t="s">
        <v>544</v>
      </c>
      <c r="L128" s="686"/>
      <c r="M128" s="606"/>
      <c r="N128" s="686"/>
      <c r="O128" s="686"/>
      <c r="P128" s="699"/>
      <c r="Q128" s="699"/>
      <c r="R128" s="699"/>
      <c r="S128" s="699"/>
      <c r="T128" s="707"/>
    </row>
    <row r="129" spans="1:20" hidden="1">
      <c r="A129" s="686"/>
      <c r="B129" s="690" t="s">
        <v>687</v>
      </c>
      <c r="C129" s="687"/>
      <c r="D129" s="688">
        <f>'[2]总投资-发采购-0411-GLP拆分场外费用(司调)'!G145</f>
        <v>13</v>
      </c>
      <c r="E129" s="693">
        <f t="shared" si="9"/>
        <v>1.8284106891701828</v>
      </c>
      <c r="F129" s="689">
        <f t="shared" si="5"/>
        <v>1.8284106891701828</v>
      </c>
      <c r="G129" s="689">
        <f t="shared" si="6"/>
        <v>13</v>
      </c>
      <c r="H129" s="606" t="s">
        <v>543</v>
      </c>
      <c r="I129" s="686"/>
      <c r="J129" s="686"/>
      <c r="K129" s="697" t="s">
        <v>544</v>
      </c>
      <c r="L129" s="686"/>
      <c r="M129" s="606"/>
      <c r="N129" s="686"/>
      <c r="O129" s="686"/>
      <c r="P129" s="699"/>
      <c r="Q129" s="699"/>
      <c r="R129" s="699"/>
      <c r="S129" s="699"/>
      <c r="T129" s="707"/>
    </row>
    <row r="130" spans="1:20" hidden="1">
      <c r="A130" s="686"/>
      <c r="B130" s="690" t="s">
        <v>688</v>
      </c>
      <c r="C130" s="687"/>
      <c r="D130" s="688">
        <f>'[2]总投资-发采购-0411-GLP拆分场外费用(司调)'!G146</f>
        <v>58</v>
      </c>
      <c r="E130" s="693">
        <f t="shared" si="9"/>
        <v>8.157524613220815</v>
      </c>
      <c r="F130" s="689">
        <f t="shared" si="5"/>
        <v>8.157524613220815</v>
      </c>
      <c r="G130" s="689">
        <f t="shared" si="6"/>
        <v>58</v>
      </c>
      <c r="H130" s="606" t="s">
        <v>543</v>
      </c>
      <c r="I130" s="686"/>
      <c r="J130" s="686"/>
      <c r="K130" s="697" t="s">
        <v>544</v>
      </c>
      <c r="L130" s="686"/>
      <c r="M130" s="606"/>
      <c r="N130" s="686"/>
      <c r="O130" s="686"/>
      <c r="P130" s="699"/>
      <c r="Q130" s="699"/>
      <c r="R130" s="699"/>
      <c r="S130" s="699"/>
      <c r="T130" s="707"/>
    </row>
    <row r="131" spans="1:20" hidden="1">
      <c r="A131" s="686">
        <v>2.13</v>
      </c>
      <c r="B131" s="690" t="s">
        <v>721</v>
      </c>
      <c r="C131" s="687"/>
      <c r="D131" s="688">
        <f>'[2]总投资-发采购-0411-GLP拆分场外费用(司调)'!G147</f>
        <v>15276.624860273199</v>
      </c>
      <c r="E131" s="693">
        <f t="shared" si="9"/>
        <v>2148.611091458959</v>
      </c>
      <c r="F131" s="689">
        <f t="shared" si="5"/>
        <v>2148.611091458959</v>
      </c>
      <c r="G131" s="689">
        <f t="shared" si="6"/>
        <v>15276.624860273199</v>
      </c>
      <c r="H131" s="606" t="s">
        <v>543</v>
      </c>
      <c r="I131" s="686"/>
      <c r="J131" s="686"/>
      <c r="K131" s="697" t="s">
        <v>544</v>
      </c>
      <c r="L131" s="686"/>
      <c r="M131" s="606"/>
      <c r="N131" s="686"/>
      <c r="O131" s="686"/>
      <c r="P131" s="699"/>
      <c r="Q131" s="699"/>
      <c r="R131" s="699"/>
      <c r="S131" s="699"/>
      <c r="T131" s="707"/>
    </row>
    <row r="132" spans="1:20" hidden="1">
      <c r="A132" s="686" t="s">
        <v>274</v>
      </c>
      <c r="B132" s="690" t="s">
        <v>677</v>
      </c>
      <c r="C132" s="687"/>
      <c r="D132" s="688">
        <f>'[2]总投资-发采购-0411-GLP拆分场外费用(司调)'!G148</f>
        <v>12124.859358359399</v>
      </c>
      <c r="E132" s="693">
        <f t="shared" si="9"/>
        <v>1705.3248042699577</v>
      </c>
      <c r="F132" s="689">
        <f t="shared" si="5"/>
        <v>1705.3248042699577</v>
      </c>
      <c r="G132" s="689">
        <f t="shared" si="6"/>
        <v>12124.859358359399</v>
      </c>
      <c r="H132" s="606" t="s">
        <v>543</v>
      </c>
      <c r="I132" s="686"/>
      <c r="J132" s="686"/>
      <c r="K132" s="697" t="s">
        <v>544</v>
      </c>
      <c r="L132" s="686"/>
      <c r="M132" s="606"/>
      <c r="N132" s="686"/>
      <c r="O132" s="686"/>
      <c r="P132" s="699"/>
      <c r="Q132" s="699"/>
      <c r="R132" s="699"/>
      <c r="S132" s="699"/>
      <c r="T132" s="707"/>
    </row>
    <row r="133" spans="1:20" hidden="1">
      <c r="A133" s="686" t="s">
        <v>275</v>
      </c>
      <c r="B133" s="690" t="s">
        <v>678</v>
      </c>
      <c r="C133" s="687"/>
      <c r="D133" s="688">
        <f>'[2]总投资-发采购-0411-GLP拆分场外费用(司调)'!G149</f>
        <v>40.926720000000003</v>
      </c>
      <c r="E133" s="693">
        <f t="shared" si="9"/>
        <v>5.7562194092827008</v>
      </c>
      <c r="F133" s="689">
        <f t="shared" si="5"/>
        <v>5.7562194092827008</v>
      </c>
      <c r="G133" s="689">
        <f t="shared" si="6"/>
        <v>40.926720000000003</v>
      </c>
      <c r="H133" s="606" t="s">
        <v>543</v>
      </c>
      <c r="I133" s="686"/>
      <c r="J133" s="686"/>
      <c r="K133" s="697" t="s">
        <v>544</v>
      </c>
      <c r="L133" s="686"/>
      <c r="M133" s="606"/>
      <c r="N133" s="686"/>
      <c r="O133" s="686"/>
      <c r="P133" s="699"/>
      <c r="Q133" s="699"/>
      <c r="R133" s="699"/>
      <c r="S133" s="699"/>
      <c r="T133" s="707"/>
    </row>
    <row r="134" spans="1:20" hidden="1">
      <c r="A134" s="686" t="s">
        <v>276</v>
      </c>
      <c r="B134" s="690" t="s">
        <v>679</v>
      </c>
      <c r="C134" s="687"/>
      <c r="D134" s="688">
        <f>'[2]总投资-发采购-0411-GLP拆分场外费用(司调)'!G150</f>
        <v>368.34048000000001</v>
      </c>
      <c r="E134" s="693">
        <f t="shared" si="9"/>
        <v>51.805974683544306</v>
      </c>
      <c r="F134" s="689">
        <f t="shared" si="5"/>
        <v>51.805974683544306</v>
      </c>
      <c r="G134" s="689">
        <f t="shared" si="6"/>
        <v>368.34048000000001</v>
      </c>
      <c r="H134" s="606" t="s">
        <v>543</v>
      </c>
      <c r="I134" s="686"/>
      <c r="J134" s="686"/>
      <c r="K134" s="697" t="s">
        <v>544</v>
      </c>
      <c r="L134" s="686"/>
      <c r="M134" s="606"/>
      <c r="N134" s="686"/>
      <c r="O134" s="686"/>
      <c r="P134" s="699"/>
      <c r="Q134" s="699"/>
      <c r="R134" s="699"/>
      <c r="S134" s="699"/>
      <c r="T134" s="707"/>
    </row>
    <row r="135" spans="1:20" hidden="1">
      <c r="A135" s="686" t="s">
        <v>277</v>
      </c>
      <c r="B135" s="690" t="s">
        <v>680</v>
      </c>
      <c r="C135" s="687"/>
      <c r="D135" s="688">
        <f>'[2]总投资-发采购-0411-GLP拆分场外费用(司调)'!G151</f>
        <v>286.48703999999998</v>
      </c>
      <c r="E135" s="693">
        <f t="shared" si="9"/>
        <v>40.293535864978899</v>
      </c>
      <c r="F135" s="689">
        <f t="shared" si="5"/>
        <v>40.293535864978899</v>
      </c>
      <c r="G135" s="689">
        <f t="shared" si="6"/>
        <v>286.48703999999998</v>
      </c>
      <c r="H135" s="606" t="s">
        <v>543</v>
      </c>
      <c r="I135" s="686"/>
      <c r="J135" s="686"/>
      <c r="K135" s="697" t="s">
        <v>544</v>
      </c>
      <c r="L135" s="686"/>
      <c r="M135" s="606"/>
      <c r="N135" s="686"/>
      <c r="O135" s="686"/>
      <c r="P135" s="699"/>
      <c r="Q135" s="699"/>
      <c r="R135" s="699"/>
      <c r="S135" s="699"/>
      <c r="T135" s="707"/>
    </row>
    <row r="136" spans="1:20" hidden="1">
      <c r="A136" s="686" t="s">
        <v>278</v>
      </c>
      <c r="B136" s="690" t="s">
        <v>681</v>
      </c>
      <c r="C136" s="687"/>
      <c r="D136" s="688">
        <f>'[2]总投资-发采购-0411-GLP拆分场外费用(司调)'!G152</f>
        <v>634.36415999999997</v>
      </c>
      <c r="E136" s="693">
        <f t="shared" si="9"/>
        <v>89.221400843881852</v>
      </c>
      <c r="F136" s="689">
        <f t="shared" si="5"/>
        <v>89.221400843881852</v>
      </c>
      <c r="G136" s="689">
        <f t="shared" ref="G136:G157" si="10">D136</f>
        <v>634.36415999999997</v>
      </c>
      <c r="H136" s="606" t="s">
        <v>543</v>
      </c>
      <c r="I136" s="686"/>
      <c r="J136" s="686"/>
      <c r="K136" s="697" t="s">
        <v>544</v>
      </c>
      <c r="L136" s="686"/>
      <c r="M136" s="606"/>
      <c r="N136" s="686"/>
      <c r="O136" s="686"/>
      <c r="P136" s="699"/>
      <c r="Q136" s="699"/>
      <c r="R136" s="699"/>
      <c r="S136" s="699"/>
      <c r="T136" s="707"/>
    </row>
    <row r="137" spans="1:20" hidden="1">
      <c r="A137" s="686" t="s">
        <v>279</v>
      </c>
      <c r="B137" s="690" t="s">
        <v>682</v>
      </c>
      <c r="C137" s="687"/>
      <c r="D137" s="688">
        <f>'[2]总投资-发采购-0411-GLP拆分场外费用(司调)'!G153</f>
        <v>174.807908541004</v>
      </c>
      <c r="E137" s="693">
        <f t="shared" si="9"/>
        <v>24.586203732911954</v>
      </c>
      <c r="F137" s="689">
        <f t="shared" si="5"/>
        <v>24.586203732911954</v>
      </c>
      <c r="G137" s="689">
        <f t="shared" si="10"/>
        <v>174.807908541004</v>
      </c>
      <c r="H137" s="606" t="s">
        <v>543</v>
      </c>
      <c r="I137" s="686"/>
      <c r="J137" s="686"/>
      <c r="K137" s="697" t="s">
        <v>544</v>
      </c>
      <c r="L137" s="686"/>
      <c r="M137" s="606"/>
      <c r="N137" s="686"/>
      <c r="O137" s="686"/>
      <c r="P137" s="699"/>
      <c r="Q137" s="699"/>
      <c r="R137" s="699"/>
      <c r="S137" s="699"/>
      <c r="T137" s="707"/>
    </row>
    <row r="138" spans="1:20" hidden="1">
      <c r="A138" s="686" t="s">
        <v>280</v>
      </c>
      <c r="B138" s="690" t="s">
        <v>683</v>
      </c>
      <c r="C138" s="687"/>
      <c r="D138" s="688">
        <f>'[2]总投资-发采购-0411-GLP拆分场外费用(司调)'!G154</f>
        <v>639.48</v>
      </c>
      <c r="E138" s="693">
        <f t="shared" si="9"/>
        <v>89.940928270042193</v>
      </c>
      <c r="F138" s="689">
        <f t="shared" si="5"/>
        <v>89.940928270042193</v>
      </c>
      <c r="G138" s="689">
        <f t="shared" si="10"/>
        <v>639.48</v>
      </c>
      <c r="H138" s="606" t="s">
        <v>543</v>
      </c>
      <c r="I138" s="686"/>
      <c r="J138" s="686"/>
      <c r="K138" s="697" t="s">
        <v>544</v>
      </c>
      <c r="L138" s="686"/>
      <c r="M138" s="606"/>
      <c r="N138" s="686"/>
      <c r="O138" s="686"/>
      <c r="P138" s="699"/>
      <c r="Q138" s="699"/>
      <c r="R138" s="699"/>
      <c r="S138" s="699"/>
      <c r="T138" s="707"/>
    </row>
    <row r="139" spans="1:20" hidden="1">
      <c r="A139" s="686"/>
      <c r="B139" s="690" t="s">
        <v>684</v>
      </c>
      <c r="C139" s="687"/>
      <c r="D139" s="688">
        <f>'[2]总投资-发采购-0411-GLP拆分场外费用(司调)'!G155</f>
        <v>935.35919337286396</v>
      </c>
      <c r="E139" s="693">
        <f t="shared" si="9"/>
        <v>131.55544210588803</v>
      </c>
      <c r="F139" s="689">
        <f t="shared" si="5"/>
        <v>131.55544210588803</v>
      </c>
      <c r="G139" s="689">
        <f t="shared" si="10"/>
        <v>935.35919337286396</v>
      </c>
      <c r="H139" s="606" t="s">
        <v>543</v>
      </c>
      <c r="I139" s="686"/>
      <c r="J139" s="686"/>
      <c r="K139" s="697" t="s">
        <v>544</v>
      </c>
      <c r="L139" s="686"/>
      <c r="M139" s="606"/>
      <c r="N139" s="686"/>
      <c r="O139" s="686"/>
      <c r="P139" s="699"/>
      <c r="Q139" s="699"/>
      <c r="R139" s="699"/>
      <c r="S139" s="699"/>
      <c r="T139" s="707"/>
    </row>
    <row r="140" spans="1:20" hidden="1">
      <c r="A140" s="686" t="s">
        <v>281</v>
      </c>
      <c r="B140" s="690" t="s">
        <v>685</v>
      </c>
      <c r="C140" s="687"/>
      <c r="D140" s="688">
        <f>'[2]总投资-发采购-0411-GLP拆分场外费用(司调)'!G156</f>
        <v>72</v>
      </c>
      <c r="E140" s="693">
        <f t="shared" si="9"/>
        <v>10.126582278481012</v>
      </c>
      <c r="F140" s="689">
        <f t="shared" si="5"/>
        <v>10.126582278481012</v>
      </c>
      <c r="G140" s="689">
        <f t="shared" si="10"/>
        <v>72</v>
      </c>
      <c r="H140" s="606" t="s">
        <v>543</v>
      </c>
      <c r="I140" s="686"/>
      <c r="J140" s="686"/>
      <c r="K140" s="697" t="s">
        <v>544</v>
      </c>
      <c r="L140" s="686"/>
      <c r="M140" s="606"/>
      <c r="N140" s="686"/>
      <c r="O140" s="686"/>
      <c r="P140" s="699"/>
      <c r="Q140" s="699"/>
      <c r="R140" s="699"/>
      <c r="S140" s="699"/>
      <c r="T140" s="707"/>
    </row>
    <row r="141" spans="1:20" hidden="1">
      <c r="A141" s="686"/>
      <c r="B141" s="690" t="s">
        <v>686</v>
      </c>
      <c r="C141" s="687"/>
      <c r="D141" s="688">
        <f>'[2]总投资-发采购-0411-GLP拆分场外费用(司调)'!G157</f>
        <v>1</v>
      </c>
      <c r="E141" s="693">
        <f t="shared" si="9"/>
        <v>0.14064697609001406</v>
      </c>
      <c r="F141" s="689">
        <f t="shared" si="5"/>
        <v>0.14064697609001406</v>
      </c>
      <c r="G141" s="689">
        <f t="shared" si="10"/>
        <v>1</v>
      </c>
      <c r="H141" s="606" t="s">
        <v>543</v>
      </c>
      <c r="I141" s="686"/>
      <c r="J141" s="686"/>
      <c r="K141" s="697" t="s">
        <v>544</v>
      </c>
      <c r="L141" s="686"/>
      <c r="M141" s="606"/>
      <c r="N141" s="686"/>
      <c r="O141" s="686"/>
      <c r="P141" s="699"/>
      <c r="Q141" s="699"/>
      <c r="R141" s="699"/>
      <c r="S141" s="699"/>
      <c r="T141" s="707"/>
    </row>
    <row r="142" spans="1:20" hidden="1">
      <c r="A142" s="686"/>
      <c r="B142" s="690" t="s">
        <v>687</v>
      </c>
      <c r="C142" s="687"/>
      <c r="D142" s="688">
        <f>'[2]总投资-发采购-0411-GLP拆分场外费用(司调)'!G158</f>
        <v>13</v>
      </c>
      <c r="E142" s="693">
        <f t="shared" si="9"/>
        <v>1.8284106891701828</v>
      </c>
      <c r="F142" s="689">
        <f t="shared" si="5"/>
        <v>1.8284106891701828</v>
      </c>
      <c r="G142" s="689">
        <f t="shared" si="10"/>
        <v>13</v>
      </c>
      <c r="H142" s="606" t="s">
        <v>543</v>
      </c>
      <c r="I142" s="686"/>
      <c r="J142" s="686"/>
      <c r="K142" s="697" t="s">
        <v>544</v>
      </c>
      <c r="L142" s="686"/>
      <c r="M142" s="606"/>
      <c r="N142" s="686"/>
      <c r="O142" s="686"/>
      <c r="P142" s="699"/>
      <c r="Q142" s="699"/>
      <c r="R142" s="699"/>
      <c r="S142" s="699"/>
      <c r="T142" s="707"/>
    </row>
    <row r="143" spans="1:20" hidden="1">
      <c r="A143" s="686"/>
      <c r="B143" s="690" t="s">
        <v>688</v>
      </c>
      <c r="C143" s="687"/>
      <c r="D143" s="688">
        <f>'[2]总投资-发采购-0411-GLP拆分场外费用(司调)'!G159</f>
        <v>58</v>
      </c>
      <c r="E143" s="693">
        <f t="shared" si="9"/>
        <v>8.157524613220815</v>
      </c>
      <c r="F143" s="689">
        <f t="shared" si="5"/>
        <v>8.157524613220815</v>
      </c>
      <c r="G143" s="689">
        <f t="shared" si="10"/>
        <v>58</v>
      </c>
      <c r="H143" s="606" t="s">
        <v>543</v>
      </c>
      <c r="I143" s="686"/>
      <c r="J143" s="686"/>
      <c r="K143" s="697" t="s">
        <v>544</v>
      </c>
      <c r="L143" s="686"/>
      <c r="M143" s="606"/>
      <c r="N143" s="686"/>
      <c r="O143" s="686"/>
      <c r="P143" s="699"/>
      <c r="Q143" s="699"/>
      <c r="R143" s="699"/>
      <c r="S143" s="699"/>
      <c r="T143" s="707"/>
    </row>
    <row r="144" spans="1:20" hidden="1">
      <c r="A144" s="686">
        <v>2.14</v>
      </c>
      <c r="B144" s="690" t="s">
        <v>722</v>
      </c>
      <c r="C144" s="687"/>
      <c r="D144" s="688">
        <f>'[2]总投资-发采购-0411-GLP拆分场外费用(司调)'!G160</f>
        <v>17183.3026631424</v>
      </c>
      <c r="E144" s="693">
        <f t="shared" si="9"/>
        <v>2416.7795588104641</v>
      </c>
      <c r="F144" s="689">
        <f t="shared" ref="F144:F207" si="11">E144</f>
        <v>2416.7795588104641</v>
      </c>
      <c r="G144" s="689">
        <f t="shared" si="10"/>
        <v>17183.3026631424</v>
      </c>
      <c r="H144" s="606" t="s">
        <v>543</v>
      </c>
      <c r="I144" s="686"/>
      <c r="J144" s="686"/>
      <c r="K144" s="697" t="s">
        <v>544</v>
      </c>
      <c r="L144" s="686"/>
      <c r="M144" s="606"/>
      <c r="N144" s="686"/>
      <c r="O144" s="686"/>
      <c r="P144" s="699"/>
      <c r="Q144" s="699"/>
      <c r="R144" s="699"/>
      <c r="S144" s="699"/>
      <c r="T144" s="707"/>
    </row>
    <row r="145" spans="1:20" hidden="1">
      <c r="A145" s="686" t="s">
        <v>283</v>
      </c>
      <c r="B145" s="690" t="s">
        <v>677</v>
      </c>
      <c r="C145" s="687"/>
      <c r="D145" s="688">
        <f>'[2]总投资-发采购-0411-GLP拆分场外费用(司调)'!G161</f>
        <v>13708.4401640299</v>
      </c>
      <c r="E145" s="693">
        <f t="shared" si="9"/>
        <v>1928.0506559817018</v>
      </c>
      <c r="F145" s="689">
        <f t="shared" si="11"/>
        <v>1928.0506559817018</v>
      </c>
      <c r="G145" s="689">
        <f t="shared" si="10"/>
        <v>13708.4401640299</v>
      </c>
      <c r="H145" s="606" t="s">
        <v>543</v>
      </c>
      <c r="I145" s="686"/>
      <c r="J145" s="686"/>
      <c r="K145" s="697" t="s">
        <v>544</v>
      </c>
      <c r="L145" s="686"/>
      <c r="M145" s="606"/>
      <c r="N145" s="686"/>
      <c r="O145" s="686"/>
      <c r="P145" s="699"/>
      <c r="Q145" s="699"/>
      <c r="R145" s="699"/>
      <c r="S145" s="699"/>
      <c r="T145" s="707"/>
    </row>
    <row r="146" spans="1:20" hidden="1">
      <c r="A146" s="686" t="s">
        <v>284</v>
      </c>
      <c r="B146" s="690" t="s">
        <v>678</v>
      </c>
      <c r="C146" s="687"/>
      <c r="D146" s="688">
        <f>'[2]总投资-发采购-0411-GLP拆分场外费用(司调)'!G162</f>
        <v>46.271999999999998</v>
      </c>
      <c r="E146" s="693">
        <f t="shared" si="9"/>
        <v>6.5080168776371305</v>
      </c>
      <c r="F146" s="689">
        <f t="shared" si="11"/>
        <v>6.5080168776371305</v>
      </c>
      <c r="G146" s="689">
        <f t="shared" si="10"/>
        <v>46.271999999999998</v>
      </c>
      <c r="H146" s="606" t="s">
        <v>543</v>
      </c>
      <c r="I146" s="686"/>
      <c r="J146" s="686"/>
      <c r="K146" s="697" t="s">
        <v>544</v>
      </c>
      <c r="L146" s="686"/>
      <c r="M146" s="606"/>
      <c r="N146" s="686"/>
      <c r="O146" s="686"/>
      <c r="P146" s="699"/>
      <c r="Q146" s="699"/>
      <c r="R146" s="699"/>
      <c r="S146" s="699"/>
      <c r="T146" s="707"/>
    </row>
    <row r="147" spans="1:20" hidden="1">
      <c r="A147" s="686" t="s">
        <v>285</v>
      </c>
      <c r="B147" s="690" t="s">
        <v>679</v>
      </c>
      <c r="C147" s="687"/>
      <c r="D147" s="688">
        <f>'[2]总投资-发采购-0411-GLP拆分场外费用(司调)'!G163</f>
        <v>416.44799999999998</v>
      </c>
      <c r="E147" s="693">
        <f t="shared" si="9"/>
        <v>58.57215189873417</v>
      </c>
      <c r="F147" s="689">
        <f t="shared" si="11"/>
        <v>58.57215189873417</v>
      </c>
      <c r="G147" s="689">
        <f t="shared" si="10"/>
        <v>416.44799999999998</v>
      </c>
      <c r="H147" s="606" t="s">
        <v>543</v>
      </c>
      <c r="I147" s="686"/>
      <c r="J147" s="686"/>
      <c r="K147" s="697" t="s">
        <v>544</v>
      </c>
      <c r="L147" s="686"/>
      <c r="M147" s="606"/>
      <c r="N147" s="686"/>
      <c r="O147" s="686"/>
      <c r="P147" s="699"/>
      <c r="Q147" s="699"/>
      <c r="R147" s="699"/>
      <c r="S147" s="699"/>
      <c r="T147" s="707"/>
    </row>
    <row r="148" spans="1:20" hidden="1">
      <c r="A148" s="686" t="s">
        <v>286</v>
      </c>
      <c r="B148" s="690" t="s">
        <v>680</v>
      </c>
      <c r="C148" s="687"/>
      <c r="D148" s="688">
        <f>'[2]总投资-发采购-0411-GLP拆分场外费用(司调)'!G164</f>
        <v>323.904</v>
      </c>
      <c r="E148" s="693">
        <f t="shared" si="9"/>
        <v>45.556118143459912</v>
      </c>
      <c r="F148" s="689">
        <f t="shared" si="11"/>
        <v>45.556118143459912</v>
      </c>
      <c r="G148" s="689">
        <f t="shared" si="10"/>
        <v>323.904</v>
      </c>
      <c r="H148" s="606" t="s">
        <v>543</v>
      </c>
      <c r="I148" s="686"/>
      <c r="J148" s="686"/>
      <c r="K148" s="697" t="s">
        <v>544</v>
      </c>
      <c r="L148" s="686"/>
      <c r="M148" s="606"/>
      <c r="N148" s="686"/>
      <c r="O148" s="686"/>
      <c r="P148" s="699"/>
      <c r="Q148" s="699"/>
      <c r="R148" s="699"/>
      <c r="S148" s="699"/>
      <c r="T148" s="707"/>
    </row>
    <row r="149" spans="1:20" hidden="1">
      <c r="A149" s="686" t="s">
        <v>287</v>
      </c>
      <c r="B149" s="690" t="s">
        <v>681</v>
      </c>
      <c r="C149" s="687"/>
      <c r="D149" s="688">
        <f>'[2]总投资-发采购-0411-GLP拆分场外费用(司调)'!G165</f>
        <v>717.21600000000001</v>
      </c>
      <c r="E149" s="693">
        <f t="shared" si="9"/>
        <v>100.87426160337553</v>
      </c>
      <c r="F149" s="689">
        <f t="shared" si="11"/>
        <v>100.87426160337553</v>
      </c>
      <c r="G149" s="689">
        <f t="shared" si="10"/>
        <v>717.21600000000001</v>
      </c>
      <c r="H149" s="606" t="s">
        <v>543</v>
      </c>
      <c r="I149" s="686"/>
      <c r="J149" s="686"/>
      <c r="K149" s="697" t="s">
        <v>544</v>
      </c>
      <c r="L149" s="686"/>
      <c r="M149" s="606"/>
      <c r="N149" s="686"/>
      <c r="O149" s="686"/>
      <c r="P149" s="699"/>
      <c r="Q149" s="699"/>
      <c r="R149" s="699"/>
      <c r="S149" s="699"/>
      <c r="T149" s="707"/>
    </row>
    <row r="150" spans="1:20" hidden="1">
      <c r="A150" s="686" t="s">
        <v>288</v>
      </c>
      <c r="B150" s="690" t="s">
        <v>682</v>
      </c>
      <c r="C150" s="687"/>
      <c r="D150" s="688">
        <f>'[2]总投资-发采购-0411-GLP拆分场外费用(司调)'!G166</f>
        <v>197.63889077867299</v>
      </c>
      <c r="E150" s="693">
        <f t="shared" si="9"/>
        <v>27.797312345804919</v>
      </c>
      <c r="F150" s="689">
        <f t="shared" si="11"/>
        <v>27.797312345804919</v>
      </c>
      <c r="G150" s="689">
        <f t="shared" si="10"/>
        <v>197.63889077867299</v>
      </c>
      <c r="H150" s="606" t="s">
        <v>543</v>
      </c>
      <c r="I150" s="686"/>
      <c r="J150" s="686"/>
      <c r="K150" s="697" t="s">
        <v>544</v>
      </c>
      <c r="L150" s="686"/>
      <c r="M150" s="606"/>
      <c r="N150" s="686"/>
      <c r="O150" s="686"/>
      <c r="P150" s="699"/>
      <c r="Q150" s="699"/>
      <c r="R150" s="699"/>
      <c r="S150" s="699"/>
      <c r="T150" s="707"/>
    </row>
    <row r="151" spans="1:20" hidden="1">
      <c r="A151" s="686" t="s">
        <v>289</v>
      </c>
      <c r="B151" s="690" t="s">
        <v>683</v>
      </c>
      <c r="C151" s="687"/>
      <c r="D151" s="688">
        <f>'[2]总投资-发采购-0411-GLP拆分场外费用(司调)'!G167</f>
        <v>723</v>
      </c>
      <c r="E151" s="693">
        <f t="shared" si="9"/>
        <v>101.68776371308016</v>
      </c>
      <c r="F151" s="689">
        <f t="shared" si="11"/>
        <v>101.68776371308016</v>
      </c>
      <c r="G151" s="689">
        <f t="shared" si="10"/>
        <v>723</v>
      </c>
      <c r="H151" s="606" t="s">
        <v>543</v>
      </c>
      <c r="I151" s="686"/>
      <c r="J151" s="686"/>
      <c r="K151" s="697" t="s">
        <v>544</v>
      </c>
      <c r="L151" s="686"/>
      <c r="M151" s="606"/>
      <c r="N151" s="686"/>
      <c r="O151" s="686"/>
      <c r="P151" s="699"/>
      <c r="Q151" s="699"/>
      <c r="R151" s="699"/>
      <c r="S151" s="699"/>
      <c r="T151" s="707"/>
    </row>
    <row r="152" spans="1:20" hidden="1">
      <c r="A152" s="686"/>
      <c r="B152" s="690" t="s">
        <v>684</v>
      </c>
      <c r="C152" s="687"/>
      <c r="D152" s="688">
        <f>'[2]总投资-发采购-0411-GLP拆分场外费用(司调)'!G168</f>
        <v>972.38360833383695</v>
      </c>
      <c r="E152" s="693">
        <f t="shared" si="9"/>
        <v>136.76281411165075</v>
      </c>
      <c r="F152" s="689">
        <f t="shared" si="11"/>
        <v>136.76281411165075</v>
      </c>
      <c r="G152" s="689">
        <f t="shared" si="10"/>
        <v>972.38360833383695</v>
      </c>
      <c r="H152" s="606" t="s">
        <v>543</v>
      </c>
      <c r="I152" s="686"/>
      <c r="J152" s="686"/>
      <c r="K152" s="697" t="s">
        <v>544</v>
      </c>
      <c r="L152" s="686"/>
      <c r="M152" s="606"/>
      <c r="N152" s="686"/>
      <c r="O152" s="686"/>
      <c r="P152" s="699"/>
      <c r="Q152" s="699"/>
      <c r="R152" s="699"/>
      <c r="S152" s="699"/>
      <c r="T152" s="707"/>
    </row>
    <row r="153" spans="1:20" hidden="1">
      <c r="A153" s="686" t="s">
        <v>290</v>
      </c>
      <c r="B153" s="690" t="s">
        <v>685</v>
      </c>
      <c r="C153" s="687"/>
      <c r="D153" s="688">
        <f>'[2]总投资-发采购-0411-GLP拆分场外费用(司调)'!G169</f>
        <v>78</v>
      </c>
      <c r="E153" s="693">
        <f t="shared" si="9"/>
        <v>10.970464135021096</v>
      </c>
      <c r="F153" s="689">
        <f t="shared" si="11"/>
        <v>10.970464135021096</v>
      </c>
      <c r="G153" s="689">
        <f t="shared" si="10"/>
        <v>78</v>
      </c>
      <c r="H153" s="606" t="s">
        <v>543</v>
      </c>
      <c r="I153" s="686"/>
      <c r="J153" s="686"/>
      <c r="K153" s="697" t="s">
        <v>544</v>
      </c>
      <c r="L153" s="686"/>
      <c r="M153" s="606"/>
      <c r="N153" s="686"/>
      <c r="O153" s="686"/>
      <c r="P153" s="699"/>
      <c r="Q153" s="699"/>
      <c r="R153" s="699"/>
      <c r="S153" s="699"/>
      <c r="T153" s="707"/>
    </row>
    <row r="154" spans="1:20" hidden="1">
      <c r="A154" s="686"/>
      <c r="B154" s="690" t="s">
        <v>686</v>
      </c>
      <c r="C154" s="687"/>
      <c r="D154" s="688">
        <f>'[2]总投资-发采购-0411-GLP拆分场外费用(司调)'!G170</f>
        <v>1</v>
      </c>
      <c r="E154" s="693">
        <f t="shared" si="9"/>
        <v>0.14064697609001406</v>
      </c>
      <c r="F154" s="689">
        <f t="shared" si="11"/>
        <v>0.14064697609001406</v>
      </c>
      <c r="G154" s="689">
        <f t="shared" si="10"/>
        <v>1</v>
      </c>
      <c r="H154" s="606" t="s">
        <v>543</v>
      </c>
      <c r="I154" s="686"/>
      <c r="J154" s="686"/>
      <c r="K154" s="697" t="s">
        <v>544</v>
      </c>
      <c r="L154" s="686"/>
      <c r="M154" s="606"/>
      <c r="N154" s="686"/>
      <c r="O154" s="686"/>
      <c r="P154" s="699"/>
      <c r="Q154" s="699"/>
      <c r="R154" s="699"/>
      <c r="S154" s="699"/>
      <c r="T154" s="707"/>
    </row>
    <row r="155" spans="1:20" hidden="1">
      <c r="A155" s="686"/>
      <c r="B155" s="690" t="s">
        <v>687</v>
      </c>
      <c r="C155" s="687"/>
      <c r="D155" s="688">
        <f>'[2]总投资-发采购-0411-GLP拆分场外费用(司调)'!G171</f>
        <v>14</v>
      </c>
      <c r="E155" s="693">
        <f t="shared" si="9"/>
        <v>1.9690576652601968</v>
      </c>
      <c r="F155" s="689">
        <f t="shared" si="11"/>
        <v>1.9690576652601968</v>
      </c>
      <c r="G155" s="689">
        <f t="shared" si="10"/>
        <v>14</v>
      </c>
      <c r="H155" s="606" t="s">
        <v>543</v>
      </c>
      <c r="I155" s="686"/>
      <c r="J155" s="686"/>
      <c r="K155" s="697" t="s">
        <v>544</v>
      </c>
      <c r="L155" s="686"/>
      <c r="M155" s="606"/>
      <c r="N155" s="686"/>
      <c r="O155" s="686"/>
      <c r="P155" s="699"/>
      <c r="Q155" s="699"/>
      <c r="R155" s="699"/>
      <c r="S155" s="699"/>
      <c r="T155" s="707"/>
    </row>
    <row r="156" spans="1:20" hidden="1">
      <c r="A156" s="686"/>
      <c r="B156" s="690" t="s">
        <v>688</v>
      </c>
      <c r="C156" s="687"/>
      <c r="D156" s="688">
        <f>'[2]总投资-发采购-0411-GLP拆分场外费用(司调)'!G172</f>
        <v>63</v>
      </c>
      <c r="E156" s="693">
        <f t="shared" si="9"/>
        <v>8.8607594936708853</v>
      </c>
      <c r="F156" s="689">
        <f t="shared" si="11"/>
        <v>8.8607594936708853</v>
      </c>
      <c r="G156" s="689">
        <f t="shared" si="10"/>
        <v>63</v>
      </c>
      <c r="H156" s="606" t="s">
        <v>543</v>
      </c>
      <c r="I156" s="686"/>
      <c r="J156" s="686"/>
      <c r="K156" s="697" t="s">
        <v>544</v>
      </c>
      <c r="L156" s="686"/>
      <c r="M156" s="606"/>
      <c r="N156" s="686"/>
      <c r="O156" s="686"/>
      <c r="P156" s="699"/>
      <c r="Q156" s="699"/>
      <c r="R156" s="699"/>
      <c r="S156" s="699"/>
      <c r="T156" s="707"/>
    </row>
    <row r="157" spans="1:20">
      <c r="A157" s="606" t="s">
        <v>41</v>
      </c>
      <c r="B157" s="683" t="s">
        <v>638</v>
      </c>
      <c r="C157" s="683" t="s">
        <v>639</v>
      </c>
      <c r="D157" s="684">
        <f>SUM('[2]总投资-发采购-0411-GLP拆分场外费用(司调)'!G30,'[2]总投资-发采购-0411-GLP拆分场外费用(司调)'!G43,'[2]总投资-发采购-0411-GLP拆分场外费用(司调)'!G56,'[2]总投资-发采购-0411-GLP拆分场外费用(司调)'!G69)</f>
        <v>23398.367016560886</v>
      </c>
      <c r="E157" s="695">
        <f t="shared" si="9"/>
        <v>3290.9095663236126</v>
      </c>
      <c r="F157" s="685">
        <f t="shared" si="11"/>
        <v>3290.9095663236126</v>
      </c>
      <c r="G157" s="685">
        <f t="shared" si="10"/>
        <v>23398.367016560886</v>
      </c>
      <c r="H157" s="606" t="s">
        <v>543</v>
      </c>
      <c r="I157" s="606" t="s">
        <v>30</v>
      </c>
      <c r="J157" s="606">
        <v>18</v>
      </c>
      <c r="K157" s="590" t="s">
        <v>31</v>
      </c>
      <c r="L157" s="606" t="s">
        <v>135</v>
      </c>
      <c r="M157" s="606"/>
      <c r="N157" s="606"/>
      <c r="O157" s="606"/>
      <c r="P157" s="698" t="s">
        <v>293</v>
      </c>
      <c r="Q157" s="698" t="s">
        <v>294</v>
      </c>
      <c r="R157" s="698" t="s">
        <v>339</v>
      </c>
      <c r="S157" s="698" t="s">
        <v>296</v>
      </c>
      <c r="T157" s="697"/>
    </row>
    <row r="158" spans="1:20" hidden="1">
      <c r="A158" s="686">
        <v>2.4</v>
      </c>
      <c r="B158" s="690" t="s">
        <v>724</v>
      </c>
      <c r="C158" s="687"/>
      <c r="D158" s="688">
        <f>'[2]总投资-发采购-0411-GLP拆分场外费用(司调)'!G30</f>
        <v>5921.3918794486299</v>
      </c>
      <c r="E158" s="693">
        <f t="shared" si="9"/>
        <v>832.82586208841485</v>
      </c>
      <c r="F158" s="689">
        <f t="shared" si="11"/>
        <v>832.82586208841485</v>
      </c>
      <c r="G158" s="689">
        <f t="shared" ref="G158:G211" si="12">D158</f>
        <v>5921.3918794486299</v>
      </c>
      <c r="H158" s="606" t="s">
        <v>543</v>
      </c>
      <c r="I158" s="606"/>
      <c r="J158" s="606"/>
      <c r="K158" s="590" t="s">
        <v>544</v>
      </c>
      <c r="L158" s="606"/>
      <c r="M158" s="606"/>
      <c r="N158" s="606"/>
      <c r="O158" s="606"/>
      <c r="P158" s="698"/>
      <c r="Q158" s="698"/>
      <c r="R158" s="698"/>
      <c r="S158" s="698"/>
      <c r="T158" s="697"/>
    </row>
    <row r="159" spans="1:20" hidden="1">
      <c r="A159" s="686" t="s">
        <v>298</v>
      </c>
      <c r="B159" s="690" t="s">
        <v>677</v>
      </c>
      <c r="C159" s="687"/>
      <c r="D159" s="688">
        <f>'[2]总投资-发采购-0411-GLP拆分场外费用(司调)'!G31</f>
        <v>3574</v>
      </c>
      <c r="E159" s="693">
        <f t="shared" si="9"/>
        <v>502.67229254571026</v>
      </c>
      <c r="F159" s="689">
        <f t="shared" si="11"/>
        <v>502.67229254571026</v>
      </c>
      <c r="G159" s="689">
        <f t="shared" si="12"/>
        <v>3574</v>
      </c>
      <c r="H159" s="606" t="s">
        <v>543</v>
      </c>
      <c r="I159" s="606"/>
      <c r="J159" s="606"/>
      <c r="K159" s="590" t="s">
        <v>544</v>
      </c>
      <c r="L159" s="606"/>
      <c r="M159" s="606"/>
      <c r="N159" s="606"/>
      <c r="O159" s="606"/>
      <c r="P159" s="698"/>
      <c r="Q159" s="698"/>
      <c r="R159" s="698"/>
      <c r="S159" s="698"/>
      <c r="T159" s="697"/>
    </row>
    <row r="160" spans="1:20" hidden="1">
      <c r="A160" s="686" t="s">
        <v>299</v>
      </c>
      <c r="B160" s="690" t="s">
        <v>678</v>
      </c>
      <c r="C160" s="687"/>
      <c r="D160" s="688">
        <f>'[2]总投资-发采购-0411-GLP拆分场外费用(司调)'!G32</f>
        <v>18.29888</v>
      </c>
      <c r="E160" s="693">
        <f t="shared" si="9"/>
        <v>2.5736821378340364</v>
      </c>
      <c r="F160" s="689">
        <f t="shared" si="11"/>
        <v>2.5736821378340364</v>
      </c>
      <c r="G160" s="689">
        <f t="shared" si="12"/>
        <v>18.29888</v>
      </c>
      <c r="H160" s="606" t="s">
        <v>543</v>
      </c>
      <c r="I160" s="606"/>
      <c r="J160" s="606"/>
      <c r="K160" s="590" t="s">
        <v>544</v>
      </c>
      <c r="L160" s="606"/>
      <c r="M160" s="606"/>
      <c r="N160" s="606"/>
      <c r="O160" s="606"/>
      <c r="P160" s="698"/>
      <c r="Q160" s="698"/>
      <c r="R160" s="698"/>
      <c r="S160" s="698"/>
      <c r="T160" s="697"/>
    </row>
    <row r="161" spans="1:20" hidden="1">
      <c r="A161" s="686" t="s">
        <v>300</v>
      </c>
      <c r="B161" s="690" t="s">
        <v>679</v>
      </c>
      <c r="C161" s="687"/>
      <c r="D161" s="688">
        <f>'[2]总投资-发采购-0411-GLP拆分场外费用(司调)'!G33</f>
        <v>164.68992</v>
      </c>
      <c r="E161" s="693">
        <f t="shared" si="9"/>
        <v>23.163139240506329</v>
      </c>
      <c r="F161" s="689">
        <f t="shared" si="11"/>
        <v>23.163139240506329</v>
      </c>
      <c r="G161" s="689">
        <f t="shared" si="12"/>
        <v>164.68992</v>
      </c>
      <c r="H161" s="606" t="s">
        <v>543</v>
      </c>
      <c r="I161" s="606"/>
      <c r="J161" s="606"/>
      <c r="K161" s="590" t="s">
        <v>544</v>
      </c>
      <c r="L161" s="606"/>
      <c r="M161" s="606"/>
      <c r="N161" s="606"/>
      <c r="O161" s="606"/>
      <c r="P161" s="698"/>
      <c r="Q161" s="698"/>
      <c r="R161" s="698"/>
      <c r="S161" s="698"/>
      <c r="T161" s="697"/>
    </row>
    <row r="162" spans="1:20" hidden="1">
      <c r="A162" s="686" t="s">
        <v>301</v>
      </c>
      <c r="B162" s="690" t="s">
        <v>680</v>
      </c>
      <c r="C162" s="687"/>
      <c r="D162" s="688">
        <f>'[2]总投资-发采购-0411-GLP拆分场外费用(司调)'!G34</f>
        <v>128.09216000000001</v>
      </c>
      <c r="E162" s="693">
        <f t="shared" si="9"/>
        <v>18.015774964838258</v>
      </c>
      <c r="F162" s="689">
        <f t="shared" si="11"/>
        <v>18.015774964838258</v>
      </c>
      <c r="G162" s="689">
        <f t="shared" si="12"/>
        <v>128.09216000000001</v>
      </c>
      <c r="H162" s="606" t="s">
        <v>543</v>
      </c>
      <c r="I162" s="606"/>
      <c r="J162" s="606"/>
      <c r="K162" s="590" t="s">
        <v>544</v>
      </c>
      <c r="L162" s="606"/>
      <c r="M162" s="606"/>
      <c r="N162" s="606"/>
      <c r="O162" s="606"/>
      <c r="P162" s="698"/>
      <c r="Q162" s="698"/>
      <c r="R162" s="698"/>
      <c r="S162" s="698"/>
      <c r="T162" s="697"/>
    </row>
    <row r="163" spans="1:20" hidden="1">
      <c r="A163" s="686" t="s">
        <v>302</v>
      </c>
      <c r="B163" s="690" t="s">
        <v>681</v>
      </c>
      <c r="C163" s="687"/>
      <c r="D163" s="688">
        <f>'[2]总投资-发采购-0411-GLP拆分场外费用(司调)'!G35</f>
        <v>283.63263999999998</v>
      </c>
      <c r="E163" s="693">
        <f t="shared" si="9"/>
        <v>39.892073136427562</v>
      </c>
      <c r="F163" s="689">
        <f t="shared" si="11"/>
        <v>39.892073136427562</v>
      </c>
      <c r="G163" s="689">
        <f t="shared" si="12"/>
        <v>283.63263999999998</v>
      </c>
      <c r="H163" s="606" t="s">
        <v>543</v>
      </c>
      <c r="I163" s="606"/>
      <c r="J163" s="606"/>
      <c r="K163" s="590" t="s">
        <v>544</v>
      </c>
      <c r="L163" s="606"/>
      <c r="M163" s="606"/>
      <c r="N163" s="606"/>
      <c r="O163" s="606"/>
      <c r="P163" s="698"/>
      <c r="Q163" s="698"/>
      <c r="R163" s="698"/>
      <c r="S163" s="698"/>
      <c r="T163" s="697"/>
    </row>
    <row r="164" spans="1:20" hidden="1">
      <c r="A164" s="686" t="s">
        <v>303</v>
      </c>
      <c r="B164" s="690" t="s">
        <v>682</v>
      </c>
      <c r="C164" s="687"/>
      <c r="D164" s="688">
        <f>'[2]总投资-发采购-0411-GLP拆分场外费用(司调)'!G36</f>
        <v>78.158937277231303</v>
      </c>
      <c r="E164" s="693">
        <f t="shared" si="9"/>
        <v>10.992818182451659</v>
      </c>
      <c r="F164" s="689">
        <f t="shared" si="11"/>
        <v>10.992818182451659</v>
      </c>
      <c r="G164" s="689">
        <f t="shared" si="12"/>
        <v>78.158937277231303</v>
      </c>
      <c r="H164" s="606" t="s">
        <v>543</v>
      </c>
      <c r="I164" s="606"/>
      <c r="J164" s="606"/>
      <c r="K164" s="590" t="s">
        <v>544</v>
      </c>
      <c r="L164" s="606"/>
      <c r="M164" s="606"/>
      <c r="N164" s="606"/>
      <c r="O164" s="606"/>
      <c r="P164" s="698"/>
      <c r="Q164" s="698"/>
      <c r="R164" s="698"/>
      <c r="S164" s="698"/>
      <c r="T164" s="697"/>
    </row>
    <row r="165" spans="1:20" hidden="1">
      <c r="A165" s="686" t="s">
        <v>304</v>
      </c>
      <c r="B165" s="690" t="s">
        <v>683</v>
      </c>
      <c r="C165" s="687"/>
      <c r="D165" s="688">
        <f>'[2]总投资-发采购-0411-GLP拆分场外费用(司调)'!G37</f>
        <v>571.84</v>
      </c>
      <c r="E165" s="693">
        <f t="shared" si="9"/>
        <v>80.427566807313639</v>
      </c>
      <c r="F165" s="689">
        <f t="shared" si="11"/>
        <v>80.427566807313639</v>
      </c>
      <c r="G165" s="689">
        <f t="shared" si="12"/>
        <v>571.84</v>
      </c>
      <c r="H165" s="606" t="s">
        <v>543</v>
      </c>
      <c r="I165" s="606"/>
      <c r="J165" s="606"/>
      <c r="K165" s="590" t="s">
        <v>544</v>
      </c>
      <c r="L165" s="606"/>
      <c r="M165" s="606"/>
      <c r="N165" s="606"/>
      <c r="O165" s="606"/>
      <c r="P165" s="698"/>
      <c r="Q165" s="698"/>
      <c r="R165" s="698"/>
      <c r="S165" s="698"/>
      <c r="T165" s="697"/>
    </row>
    <row r="166" spans="1:20" hidden="1">
      <c r="A166" s="686"/>
      <c r="B166" s="690" t="s">
        <v>684</v>
      </c>
      <c r="C166" s="687"/>
      <c r="D166" s="688">
        <f>'[2]总投资-发采购-0411-GLP拆分场外费用(司调)'!G38</f>
        <v>1036.6793421714001</v>
      </c>
      <c r="E166" s="693">
        <f t="shared" si="9"/>
        <v>145.80581465139241</v>
      </c>
      <c r="F166" s="689">
        <f t="shared" si="11"/>
        <v>145.80581465139241</v>
      </c>
      <c r="G166" s="689">
        <f t="shared" si="12"/>
        <v>1036.6793421714001</v>
      </c>
      <c r="H166" s="606" t="s">
        <v>543</v>
      </c>
      <c r="I166" s="606"/>
      <c r="J166" s="606"/>
      <c r="K166" s="590" t="s">
        <v>544</v>
      </c>
      <c r="L166" s="606"/>
      <c r="M166" s="606"/>
      <c r="N166" s="606"/>
      <c r="O166" s="606"/>
      <c r="P166" s="698"/>
      <c r="Q166" s="698"/>
      <c r="R166" s="698"/>
      <c r="S166" s="698"/>
      <c r="T166" s="697"/>
    </row>
    <row r="167" spans="1:20" hidden="1">
      <c r="A167" s="686" t="s">
        <v>305</v>
      </c>
      <c r="B167" s="690" t="s">
        <v>685</v>
      </c>
      <c r="C167" s="687"/>
      <c r="D167" s="688">
        <f>'[2]总投资-发采购-0411-GLP拆分场外费用(司调)'!G39</f>
        <v>66</v>
      </c>
      <c r="E167" s="693">
        <f t="shared" si="9"/>
        <v>9.2827004219409286</v>
      </c>
      <c r="F167" s="689">
        <f t="shared" si="11"/>
        <v>9.2827004219409286</v>
      </c>
      <c r="G167" s="689">
        <f t="shared" si="12"/>
        <v>66</v>
      </c>
      <c r="H167" s="606" t="s">
        <v>543</v>
      </c>
      <c r="I167" s="606"/>
      <c r="J167" s="606"/>
      <c r="K167" s="590" t="s">
        <v>544</v>
      </c>
      <c r="L167" s="606"/>
      <c r="M167" s="606"/>
      <c r="N167" s="606"/>
      <c r="O167" s="606"/>
      <c r="P167" s="698"/>
      <c r="Q167" s="698"/>
      <c r="R167" s="698"/>
      <c r="S167" s="698"/>
      <c r="T167" s="697"/>
    </row>
    <row r="168" spans="1:20" hidden="1">
      <c r="A168" s="686"/>
      <c r="B168" s="690" t="s">
        <v>686</v>
      </c>
      <c r="C168" s="687"/>
      <c r="D168" s="688">
        <f>'[2]总投资-发采购-0411-GLP拆分场外费用(司调)'!G40</f>
        <v>2</v>
      </c>
      <c r="E168" s="693">
        <f t="shared" si="9"/>
        <v>0.28129395218002812</v>
      </c>
      <c r="F168" s="689">
        <f t="shared" si="11"/>
        <v>0.28129395218002812</v>
      </c>
      <c r="G168" s="689">
        <f t="shared" si="12"/>
        <v>2</v>
      </c>
      <c r="H168" s="606" t="s">
        <v>543</v>
      </c>
      <c r="I168" s="606"/>
      <c r="J168" s="606"/>
      <c r="K168" s="590" t="s">
        <v>544</v>
      </c>
      <c r="L168" s="606"/>
      <c r="M168" s="606"/>
      <c r="N168" s="606"/>
      <c r="O168" s="606"/>
      <c r="P168" s="698"/>
      <c r="Q168" s="698"/>
      <c r="R168" s="698"/>
      <c r="S168" s="698"/>
      <c r="T168" s="697"/>
    </row>
    <row r="169" spans="1:20" hidden="1">
      <c r="A169" s="686"/>
      <c r="B169" s="690" t="s">
        <v>687</v>
      </c>
      <c r="C169" s="687"/>
      <c r="D169" s="688">
        <f>'[2]总投资-发采购-0411-GLP拆分场外费用(司调)'!G41</f>
        <v>11</v>
      </c>
      <c r="E169" s="693">
        <f t="shared" si="9"/>
        <v>1.5471167369901546</v>
      </c>
      <c r="F169" s="689">
        <f t="shared" si="11"/>
        <v>1.5471167369901546</v>
      </c>
      <c r="G169" s="689">
        <f t="shared" si="12"/>
        <v>11</v>
      </c>
      <c r="H169" s="606" t="s">
        <v>543</v>
      </c>
      <c r="I169" s="606"/>
      <c r="J169" s="606"/>
      <c r="K169" s="590" t="s">
        <v>544</v>
      </c>
      <c r="L169" s="606"/>
      <c r="M169" s="606"/>
      <c r="N169" s="606"/>
      <c r="O169" s="606"/>
      <c r="P169" s="698"/>
      <c r="Q169" s="698"/>
      <c r="R169" s="698"/>
      <c r="S169" s="698"/>
      <c r="T169" s="697"/>
    </row>
    <row r="170" spans="1:20" hidden="1">
      <c r="A170" s="686"/>
      <c r="B170" s="690" t="s">
        <v>688</v>
      </c>
      <c r="C170" s="687"/>
      <c r="D170" s="688">
        <f>'[2]总投资-发采购-0411-GLP拆分场外费用(司调)'!G42</f>
        <v>53</v>
      </c>
      <c r="E170" s="693">
        <f t="shared" si="9"/>
        <v>7.4542897327707447</v>
      </c>
      <c r="F170" s="689">
        <f t="shared" si="11"/>
        <v>7.4542897327707447</v>
      </c>
      <c r="G170" s="689">
        <f t="shared" si="12"/>
        <v>53</v>
      </c>
      <c r="H170" s="606" t="s">
        <v>543</v>
      </c>
      <c r="I170" s="606"/>
      <c r="J170" s="606"/>
      <c r="K170" s="590" t="s">
        <v>544</v>
      </c>
      <c r="L170" s="606"/>
      <c r="M170" s="606"/>
      <c r="N170" s="606"/>
      <c r="O170" s="606"/>
      <c r="P170" s="698"/>
      <c r="Q170" s="698"/>
      <c r="R170" s="698"/>
      <c r="S170" s="698"/>
      <c r="T170" s="697"/>
    </row>
    <row r="171" spans="1:20" hidden="1">
      <c r="A171" s="686">
        <v>2.5</v>
      </c>
      <c r="B171" s="690" t="s">
        <v>725</v>
      </c>
      <c r="C171" s="687"/>
      <c r="D171" s="688">
        <f>'[2]总投资-发采购-0411-GLP拆分场外费用(司调)'!G43</f>
        <v>5952.1708779011697</v>
      </c>
      <c r="E171" s="693">
        <f t="shared" si="9"/>
        <v>837.15483514784376</v>
      </c>
      <c r="F171" s="689">
        <f t="shared" si="11"/>
        <v>837.15483514784376</v>
      </c>
      <c r="G171" s="689">
        <f t="shared" si="12"/>
        <v>5952.1708779011697</v>
      </c>
      <c r="H171" s="606" t="s">
        <v>543</v>
      </c>
      <c r="I171" s="606"/>
      <c r="J171" s="606"/>
      <c r="K171" s="590" t="s">
        <v>544</v>
      </c>
      <c r="L171" s="606"/>
      <c r="M171" s="606"/>
      <c r="N171" s="606"/>
      <c r="O171" s="606"/>
      <c r="P171" s="698"/>
      <c r="Q171" s="698"/>
      <c r="R171" s="698"/>
      <c r="S171" s="698"/>
      <c r="T171" s="697"/>
    </row>
    <row r="172" spans="1:20" hidden="1">
      <c r="A172" s="686" t="s">
        <v>307</v>
      </c>
      <c r="B172" s="690" t="s">
        <v>677</v>
      </c>
      <c r="C172" s="687"/>
      <c r="D172" s="688">
        <f>'[2]总投资-发采购-0411-GLP拆分场外费用(司调)'!G44</f>
        <v>3574</v>
      </c>
      <c r="E172" s="693">
        <f t="shared" si="9"/>
        <v>502.67229254571026</v>
      </c>
      <c r="F172" s="689">
        <f t="shared" si="11"/>
        <v>502.67229254571026</v>
      </c>
      <c r="G172" s="689">
        <f t="shared" si="12"/>
        <v>3574</v>
      </c>
      <c r="H172" s="606" t="s">
        <v>543</v>
      </c>
      <c r="I172" s="606"/>
      <c r="J172" s="606"/>
      <c r="K172" s="590" t="s">
        <v>544</v>
      </c>
      <c r="L172" s="606"/>
      <c r="M172" s="606"/>
      <c r="N172" s="606"/>
      <c r="O172" s="606"/>
      <c r="P172" s="698"/>
      <c r="Q172" s="698"/>
      <c r="R172" s="698"/>
      <c r="S172" s="698"/>
      <c r="T172" s="697"/>
    </row>
    <row r="173" spans="1:20" hidden="1">
      <c r="A173" s="686" t="s">
        <v>308</v>
      </c>
      <c r="B173" s="690" t="s">
        <v>678</v>
      </c>
      <c r="C173" s="687"/>
      <c r="D173" s="688">
        <f>'[2]总投资-发采购-0411-GLP拆分场外费用(司调)'!G45</f>
        <v>18.29888</v>
      </c>
      <c r="E173" s="693">
        <f t="shared" si="9"/>
        <v>2.5736821378340364</v>
      </c>
      <c r="F173" s="689">
        <f t="shared" si="11"/>
        <v>2.5736821378340364</v>
      </c>
      <c r="G173" s="689">
        <f t="shared" si="12"/>
        <v>18.29888</v>
      </c>
      <c r="H173" s="606" t="s">
        <v>543</v>
      </c>
      <c r="I173" s="606"/>
      <c r="J173" s="606"/>
      <c r="K173" s="590" t="s">
        <v>544</v>
      </c>
      <c r="L173" s="606"/>
      <c r="M173" s="606"/>
      <c r="N173" s="606"/>
      <c r="O173" s="606"/>
      <c r="P173" s="698"/>
      <c r="Q173" s="698"/>
      <c r="R173" s="698"/>
      <c r="S173" s="698"/>
      <c r="T173" s="697"/>
    </row>
    <row r="174" spans="1:20" hidden="1">
      <c r="A174" s="686" t="s">
        <v>309</v>
      </c>
      <c r="B174" s="690" t="s">
        <v>679</v>
      </c>
      <c r="C174" s="687"/>
      <c r="D174" s="688">
        <f>'[2]总投资-发采购-0411-GLP拆分场外费用(司调)'!G46</f>
        <v>164.68992</v>
      </c>
      <c r="E174" s="693">
        <f t="shared" si="9"/>
        <v>23.163139240506329</v>
      </c>
      <c r="F174" s="689">
        <f t="shared" si="11"/>
        <v>23.163139240506329</v>
      </c>
      <c r="G174" s="689">
        <f t="shared" si="12"/>
        <v>164.68992</v>
      </c>
      <c r="H174" s="606" t="s">
        <v>543</v>
      </c>
      <c r="I174" s="606"/>
      <c r="J174" s="606"/>
      <c r="K174" s="590" t="s">
        <v>544</v>
      </c>
      <c r="L174" s="606"/>
      <c r="M174" s="606"/>
      <c r="N174" s="606"/>
      <c r="O174" s="606"/>
      <c r="P174" s="698"/>
      <c r="Q174" s="698"/>
      <c r="R174" s="698"/>
      <c r="S174" s="698"/>
      <c r="T174" s="697"/>
    </row>
    <row r="175" spans="1:20" hidden="1">
      <c r="A175" s="686" t="s">
        <v>310</v>
      </c>
      <c r="B175" s="690" t="s">
        <v>680</v>
      </c>
      <c r="C175" s="687"/>
      <c r="D175" s="688">
        <f>'[2]总投资-发采购-0411-GLP拆分场外费用(司调)'!G47</f>
        <v>128.09216000000001</v>
      </c>
      <c r="E175" s="693">
        <f t="shared" si="9"/>
        <v>18.015774964838258</v>
      </c>
      <c r="F175" s="689">
        <f t="shared" si="11"/>
        <v>18.015774964838258</v>
      </c>
      <c r="G175" s="689">
        <f t="shared" si="12"/>
        <v>128.09216000000001</v>
      </c>
      <c r="H175" s="606" t="s">
        <v>543</v>
      </c>
      <c r="I175" s="606"/>
      <c r="J175" s="606"/>
      <c r="K175" s="590" t="s">
        <v>544</v>
      </c>
      <c r="L175" s="606"/>
      <c r="M175" s="606"/>
      <c r="N175" s="606"/>
      <c r="O175" s="606"/>
      <c r="P175" s="698"/>
      <c r="Q175" s="698"/>
      <c r="R175" s="698"/>
      <c r="S175" s="698"/>
      <c r="T175" s="697"/>
    </row>
    <row r="176" spans="1:20" hidden="1">
      <c r="A176" s="686" t="s">
        <v>311</v>
      </c>
      <c r="B176" s="690" t="s">
        <v>681</v>
      </c>
      <c r="C176" s="687"/>
      <c r="D176" s="688">
        <f>'[2]总投资-发采购-0411-GLP拆分场外费用(司调)'!G48</f>
        <v>283.63263999999998</v>
      </c>
      <c r="E176" s="693">
        <f t="shared" si="9"/>
        <v>39.892073136427562</v>
      </c>
      <c r="F176" s="689">
        <f t="shared" si="11"/>
        <v>39.892073136427562</v>
      </c>
      <c r="G176" s="689">
        <f t="shared" si="12"/>
        <v>283.63263999999998</v>
      </c>
      <c r="H176" s="606" t="s">
        <v>543</v>
      </c>
      <c r="I176" s="606"/>
      <c r="J176" s="606"/>
      <c r="K176" s="590" t="s">
        <v>544</v>
      </c>
      <c r="L176" s="606"/>
      <c r="M176" s="606"/>
      <c r="N176" s="606"/>
      <c r="O176" s="606"/>
      <c r="P176" s="698"/>
      <c r="Q176" s="698"/>
      <c r="R176" s="698"/>
      <c r="S176" s="698"/>
      <c r="T176" s="697"/>
    </row>
    <row r="177" spans="1:20" hidden="1">
      <c r="A177" s="686" t="s">
        <v>312</v>
      </c>
      <c r="B177" s="690" t="s">
        <v>682</v>
      </c>
      <c r="C177" s="687"/>
      <c r="D177" s="688">
        <f>'[2]总投资-发采购-0411-GLP拆分场外费用(司调)'!G49</f>
        <v>78.158937277231303</v>
      </c>
      <c r="E177" s="693">
        <f t="shared" si="9"/>
        <v>10.992818182451659</v>
      </c>
      <c r="F177" s="689">
        <f t="shared" si="11"/>
        <v>10.992818182451659</v>
      </c>
      <c r="G177" s="689">
        <f t="shared" si="12"/>
        <v>78.158937277231303</v>
      </c>
      <c r="H177" s="606" t="s">
        <v>543</v>
      </c>
      <c r="I177" s="606"/>
      <c r="J177" s="606"/>
      <c r="K177" s="590" t="s">
        <v>544</v>
      </c>
      <c r="L177" s="606"/>
      <c r="M177" s="606"/>
      <c r="N177" s="606"/>
      <c r="O177" s="606"/>
      <c r="P177" s="698"/>
      <c r="Q177" s="698"/>
      <c r="R177" s="698"/>
      <c r="S177" s="698"/>
      <c r="T177" s="697"/>
    </row>
    <row r="178" spans="1:20" hidden="1">
      <c r="A178" s="686" t="s">
        <v>313</v>
      </c>
      <c r="B178" s="690" t="s">
        <v>683</v>
      </c>
      <c r="C178" s="687"/>
      <c r="D178" s="688">
        <f>'[2]总投资-发采购-0411-GLP拆分场外费用(司调)'!G50</f>
        <v>571.84</v>
      </c>
      <c r="E178" s="693">
        <f t="shared" si="9"/>
        <v>80.427566807313639</v>
      </c>
      <c r="F178" s="689">
        <f t="shared" si="11"/>
        <v>80.427566807313639</v>
      </c>
      <c r="G178" s="689">
        <f t="shared" si="12"/>
        <v>571.84</v>
      </c>
      <c r="H178" s="606" t="s">
        <v>543</v>
      </c>
      <c r="I178" s="606"/>
      <c r="J178" s="606"/>
      <c r="K178" s="590" t="s">
        <v>544</v>
      </c>
      <c r="L178" s="606"/>
      <c r="M178" s="606"/>
      <c r="N178" s="606"/>
      <c r="O178" s="606"/>
      <c r="P178" s="698"/>
      <c r="Q178" s="698"/>
      <c r="R178" s="698"/>
      <c r="S178" s="698"/>
      <c r="T178" s="697"/>
    </row>
    <row r="179" spans="1:20" hidden="1">
      <c r="A179" s="686"/>
      <c r="B179" s="690" t="s">
        <v>684</v>
      </c>
      <c r="C179" s="687"/>
      <c r="D179" s="688">
        <f>'[2]总投资-发采购-0411-GLP拆分场外费用(司调)'!G51</f>
        <v>1068.4583406239401</v>
      </c>
      <c r="E179" s="693">
        <f t="shared" si="9"/>
        <v>150.27543468691141</v>
      </c>
      <c r="F179" s="689">
        <f t="shared" si="11"/>
        <v>150.27543468691141</v>
      </c>
      <c r="G179" s="689">
        <f t="shared" si="12"/>
        <v>1068.4583406239401</v>
      </c>
      <c r="H179" s="606" t="s">
        <v>543</v>
      </c>
      <c r="I179" s="606"/>
      <c r="J179" s="606"/>
      <c r="K179" s="590" t="s">
        <v>544</v>
      </c>
      <c r="L179" s="606"/>
      <c r="M179" s="606"/>
      <c r="N179" s="606"/>
      <c r="O179" s="606"/>
      <c r="P179" s="698"/>
      <c r="Q179" s="698"/>
      <c r="R179" s="698"/>
      <c r="S179" s="698"/>
      <c r="T179" s="697"/>
    </row>
    <row r="180" spans="1:20" hidden="1">
      <c r="A180" s="686" t="s">
        <v>314</v>
      </c>
      <c r="B180" s="690" t="s">
        <v>685</v>
      </c>
      <c r="C180" s="687"/>
      <c r="D180" s="688">
        <f>'[2]总投资-发采购-0411-GLP拆分场外费用(司调)'!G52</f>
        <v>65</v>
      </c>
      <c r="E180" s="693">
        <f t="shared" si="9"/>
        <v>9.1420534458509142</v>
      </c>
      <c r="F180" s="689">
        <f t="shared" si="11"/>
        <v>9.1420534458509142</v>
      </c>
      <c r="G180" s="689">
        <f t="shared" si="12"/>
        <v>65</v>
      </c>
      <c r="H180" s="606" t="s">
        <v>543</v>
      </c>
      <c r="I180" s="606"/>
      <c r="J180" s="606"/>
      <c r="K180" s="590" t="s">
        <v>544</v>
      </c>
      <c r="L180" s="606"/>
      <c r="M180" s="606"/>
      <c r="N180" s="606"/>
      <c r="O180" s="606"/>
      <c r="P180" s="698"/>
      <c r="Q180" s="698"/>
      <c r="R180" s="698"/>
      <c r="S180" s="698"/>
      <c r="T180" s="697"/>
    </row>
    <row r="181" spans="1:20" hidden="1">
      <c r="A181" s="686"/>
      <c r="B181" s="690" t="s">
        <v>686</v>
      </c>
      <c r="C181" s="687"/>
      <c r="D181" s="688">
        <f>'[2]总投资-发采购-0411-GLP拆分场外费用(司调)'!G53</f>
        <v>1</v>
      </c>
      <c r="E181" s="693">
        <f t="shared" si="9"/>
        <v>0.14064697609001406</v>
      </c>
      <c r="F181" s="689">
        <f t="shared" si="11"/>
        <v>0.14064697609001406</v>
      </c>
      <c r="G181" s="689">
        <f t="shared" si="12"/>
        <v>1</v>
      </c>
      <c r="H181" s="606" t="s">
        <v>543</v>
      </c>
      <c r="I181" s="606"/>
      <c r="J181" s="606"/>
      <c r="K181" s="590" t="s">
        <v>544</v>
      </c>
      <c r="L181" s="606"/>
      <c r="M181" s="606"/>
      <c r="N181" s="606"/>
      <c r="O181" s="606"/>
      <c r="P181" s="698"/>
      <c r="Q181" s="698"/>
      <c r="R181" s="698"/>
      <c r="S181" s="698"/>
      <c r="T181" s="697"/>
    </row>
    <row r="182" spans="1:20" hidden="1">
      <c r="A182" s="686"/>
      <c r="B182" s="690" t="s">
        <v>687</v>
      </c>
      <c r="C182" s="687"/>
      <c r="D182" s="688">
        <f>'[2]总投资-发采购-0411-GLP拆分场外费用(司调)'!G54</f>
        <v>11</v>
      </c>
      <c r="E182" s="693">
        <f t="shared" si="9"/>
        <v>1.5471167369901546</v>
      </c>
      <c r="F182" s="689">
        <f t="shared" si="11"/>
        <v>1.5471167369901546</v>
      </c>
      <c r="G182" s="689">
        <f t="shared" si="12"/>
        <v>11</v>
      </c>
      <c r="H182" s="606" t="s">
        <v>543</v>
      </c>
      <c r="I182" s="606"/>
      <c r="J182" s="606"/>
      <c r="K182" s="590" t="s">
        <v>544</v>
      </c>
      <c r="L182" s="606"/>
      <c r="M182" s="606"/>
      <c r="N182" s="606"/>
      <c r="O182" s="606"/>
      <c r="P182" s="698"/>
      <c r="Q182" s="698"/>
      <c r="R182" s="698"/>
      <c r="S182" s="698"/>
      <c r="T182" s="697"/>
    </row>
    <row r="183" spans="1:20" hidden="1">
      <c r="A183" s="686"/>
      <c r="B183" s="690" t="s">
        <v>688</v>
      </c>
      <c r="C183" s="687"/>
      <c r="D183" s="688">
        <f>'[2]总投资-发采购-0411-GLP拆分场外费用(司调)'!G55</f>
        <v>53</v>
      </c>
      <c r="E183" s="693">
        <f t="shared" ref="E183:E210" si="13">D183/$A$3</f>
        <v>7.4542897327707447</v>
      </c>
      <c r="F183" s="689">
        <f t="shared" si="11"/>
        <v>7.4542897327707447</v>
      </c>
      <c r="G183" s="689">
        <f t="shared" si="12"/>
        <v>53</v>
      </c>
      <c r="H183" s="606" t="s">
        <v>543</v>
      </c>
      <c r="I183" s="606"/>
      <c r="J183" s="606"/>
      <c r="K183" s="590" t="s">
        <v>544</v>
      </c>
      <c r="L183" s="606"/>
      <c r="M183" s="606"/>
      <c r="N183" s="606"/>
      <c r="O183" s="606"/>
      <c r="P183" s="698"/>
      <c r="Q183" s="698"/>
      <c r="R183" s="698"/>
      <c r="S183" s="698"/>
      <c r="T183" s="697"/>
    </row>
    <row r="184" spans="1:20" hidden="1">
      <c r="A184" s="686">
        <v>2.6</v>
      </c>
      <c r="B184" s="690" t="s">
        <v>726</v>
      </c>
      <c r="C184" s="687"/>
      <c r="D184" s="688">
        <f>'[2]总投资-发采购-0411-GLP拆分场外费用(司调)'!G56</f>
        <v>5747.9617310399199</v>
      </c>
      <c r="E184" s="693">
        <f t="shared" si="13"/>
        <v>808.43343615188746</v>
      </c>
      <c r="F184" s="689">
        <f t="shared" si="11"/>
        <v>808.43343615188746</v>
      </c>
      <c r="G184" s="689">
        <f t="shared" si="12"/>
        <v>5747.9617310399199</v>
      </c>
      <c r="H184" s="606" t="s">
        <v>543</v>
      </c>
      <c r="I184" s="606"/>
      <c r="J184" s="606"/>
      <c r="K184" s="590" t="s">
        <v>544</v>
      </c>
      <c r="L184" s="606"/>
      <c r="M184" s="606"/>
      <c r="N184" s="606"/>
      <c r="O184" s="606"/>
      <c r="P184" s="698"/>
      <c r="Q184" s="698"/>
      <c r="R184" s="698"/>
      <c r="S184" s="698"/>
      <c r="T184" s="697"/>
    </row>
    <row r="185" spans="1:20" hidden="1">
      <c r="A185" s="686" t="s">
        <v>316</v>
      </c>
      <c r="B185" s="690" t="s">
        <v>677</v>
      </c>
      <c r="C185" s="687"/>
      <c r="D185" s="688">
        <f>'[2]总投资-发采购-0411-GLP拆分场外费用(司调)'!G57</f>
        <v>3574</v>
      </c>
      <c r="E185" s="693">
        <f t="shared" si="13"/>
        <v>502.67229254571026</v>
      </c>
      <c r="F185" s="689">
        <f t="shared" si="11"/>
        <v>502.67229254571026</v>
      </c>
      <c r="G185" s="689">
        <f t="shared" si="12"/>
        <v>3574</v>
      </c>
      <c r="H185" s="606" t="s">
        <v>543</v>
      </c>
      <c r="I185" s="606"/>
      <c r="J185" s="606"/>
      <c r="K185" s="590" t="s">
        <v>544</v>
      </c>
      <c r="L185" s="606"/>
      <c r="M185" s="606"/>
      <c r="N185" s="606"/>
      <c r="O185" s="606"/>
      <c r="P185" s="698"/>
      <c r="Q185" s="698"/>
      <c r="R185" s="698"/>
      <c r="S185" s="698"/>
      <c r="T185" s="697"/>
    </row>
    <row r="186" spans="1:20" hidden="1">
      <c r="A186" s="686" t="s">
        <v>317</v>
      </c>
      <c r="B186" s="690" t="s">
        <v>678</v>
      </c>
      <c r="C186" s="687"/>
      <c r="D186" s="688">
        <f>'[2]总投资-发采购-0411-GLP拆分场外费用(司调)'!G58</f>
        <v>18.29888</v>
      </c>
      <c r="E186" s="693">
        <f t="shared" si="13"/>
        <v>2.5736821378340364</v>
      </c>
      <c r="F186" s="689">
        <f t="shared" si="11"/>
        <v>2.5736821378340364</v>
      </c>
      <c r="G186" s="689">
        <f t="shared" si="12"/>
        <v>18.29888</v>
      </c>
      <c r="H186" s="606" t="s">
        <v>543</v>
      </c>
      <c r="I186" s="606"/>
      <c r="J186" s="606"/>
      <c r="K186" s="590" t="s">
        <v>544</v>
      </c>
      <c r="L186" s="606"/>
      <c r="M186" s="606"/>
      <c r="N186" s="606"/>
      <c r="O186" s="606"/>
      <c r="P186" s="698"/>
      <c r="Q186" s="698"/>
      <c r="R186" s="698"/>
      <c r="S186" s="698"/>
      <c r="T186" s="697"/>
    </row>
    <row r="187" spans="1:20" hidden="1">
      <c r="A187" s="686" t="s">
        <v>318</v>
      </c>
      <c r="B187" s="690" t="s">
        <v>679</v>
      </c>
      <c r="C187" s="687"/>
      <c r="D187" s="688">
        <f>'[2]总投资-发采购-0411-GLP拆分场外费用(司调)'!G59</f>
        <v>164.68992</v>
      </c>
      <c r="E187" s="693">
        <f t="shared" si="13"/>
        <v>23.163139240506329</v>
      </c>
      <c r="F187" s="689">
        <f t="shared" si="11"/>
        <v>23.163139240506329</v>
      </c>
      <c r="G187" s="689">
        <f t="shared" si="12"/>
        <v>164.68992</v>
      </c>
      <c r="H187" s="606" t="s">
        <v>543</v>
      </c>
      <c r="I187" s="606"/>
      <c r="J187" s="606"/>
      <c r="K187" s="590" t="s">
        <v>544</v>
      </c>
      <c r="L187" s="606"/>
      <c r="M187" s="606"/>
      <c r="N187" s="606"/>
      <c r="O187" s="606"/>
      <c r="P187" s="698"/>
      <c r="Q187" s="698"/>
      <c r="R187" s="698"/>
      <c r="S187" s="698"/>
      <c r="T187" s="697"/>
    </row>
    <row r="188" spans="1:20" hidden="1">
      <c r="A188" s="686" t="s">
        <v>319</v>
      </c>
      <c r="B188" s="690" t="s">
        <v>680</v>
      </c>
      <c r="C188" s="687"/>
      <c r="D188" s="688">
        <f>'[2]总投资-发采购-0411-GLP拆分场外费用(司调)'!G60</f>
        <v>128.09216000000001</v>
      </c>
      <c r="E188" s="693">
        <f t="shared" si="13"/>
        <v>18.015774964838258</v>
      </c>
      <c r="F188" s="689">
        <f t="shared" si="11"/>
        <v>18.015774964838258</v>
      </c>
      <c r="G188" s="689">
        <f t="shared" si="12"/>
        <v>128.09216000000001</v>
      </c>
      <c r="H188" s="606" t="s">
        <v>543</v>
      </c>
      <c r="I188" s="606"/>
      <c r="J188" s="606"/>
      <c r="K188" s="590" t="s">
        <v>544</v>
      </c>
      <c r="L188" s="606"/>
      <c r="M188" s="606"/>
      <c r="N188" s="606"/>
      <c r="O188" s="606"/>
      <c r="P188" s="698"/>
      <c r="Q188" s="698"/>
      <c r="R188" s="698"/>
      <c r="S188" s="698"/>
      <c r="T188" s="697"/>
    </row>
    <row r="189" spans="1:20" hidden="1">
      <c r="A189" s="686" t="s">
        <v>320</v>
      </c>
      <c r="B189" s="690" t="s">
        <v>681</v>
      </c>
      <c r="C189" s="687"/>
      <c r="D189" s="688">
        <f>'[2]总投资-发采购-0411-GLP拆分场外费用(司调)'!G61</f>
        <v>283.63263999999998</v>
      </c>
      <c r="E189" s="693">
        <f t="shared" si="13"/>
        <v>39.892073136427562</v>
      </c>
      <c r="F189" s="689">
        <f t="shared" si="11"/>
        <v>39.892073136427562</v>
      </c>
      <c r="G189" s="689">
        <f t="shared" si="12"/>
        <v>283.63263999999998</v>
      </c>
      <c r="H189" s="606" t="s">
        <v>543</v>
      </c>
      <c r="I189" s="606"/>
      <c r="J189" s="606"/>
      <c r="K189" s="590" t="s">
        <v>544</v>
      </c>
      <c r="L189" s="606"/>
      <c r="M189" s="606"/>
      <c r="N189" s="606"/>
      <c r="O189" s="606"/>
      <c r="P189" s="698"/>
      <c r="Q189" s="698"/>
      <c r="R189" s="698"/>
      <c r="S189" s="698"/>
      <c r="T189" s="697"/>
    </row>
    <row r="190" spans="1:20" hidden="1">
      <c r="A190" s="686" t="s">
        <v>321</v>
      </c>
      <c r="B190" s="690" t="s">
        <v>682</v>
      </c>
      <c r="C190" s="687"/>
      <c r="D190" s="688">
        <f>'[2]总投资-发采购-0411-GLP拆分场外费用(司调)'!G62</f>
        <v>78.158937277231303</v>
      </c>
      <c r="E190" s="693">
        <f t="shared" si="13"/>
        <v>10.992818182451659</v>
      </c>
      <c r="F190" s="689">
        <f t="shared" si="11"/>
        <v>10.992818182451659</v>
      </c>
      <c r="G190" s="689">
        <f t="shared" si="12"/>
        <v>78.158937277231303</v>
      </c>
      <c r="H190" s="606" t="s">
        <v>543</v>
      </c>
      <c r="I190" s="606"/>
      <c r="J190" s="606"/>
      <c r="K190" s="590" t="s">
        <v>544</v>
      </c>
      <c r="L190" s="606"/>
      <c r="M190" s="606"/>
      <c r="N190" s="606"/>
      <c r="O190" s="606"/>
      <c r="P190" s="698"/>
      <c r="Q190" s="698"/>
      <c r="R190" s="698"/>
      <c r="S190" s="698"/>
      <c r="T190" s="697"/>
    </row>
    <row r="191" spans="1:20" hidden="1">
      <c r="A191" s="686" t="s">
        <v>322</v>
      </c>
      <c r="B191" s="690" t="s">
        <v>683</v>
      </c>
      <c r="C191" s="687"/>
      <c r="D191" s="688">
        <f>'[2]总投资-发采购-0411-GLP拆分场外费用(司调)'!G63</f>
        <v>571.84</v>
      </c>
      <c r="E191" s="693">
        <f t="shared" si="13"/>
        <v>80.427566807313639</v>
      </c>
      <c r="F191" s="689">
        <f t="shared" si="11"/>
        <v>80.427566807313639</v>
      </c>
      <c r="G191" s="689">
        <f t="shared" si="12"/>
        <v>571.84</v>
      </c>
      <c r="H191" s="606" t="s">
        <v>543</v>
      </c>
      <c r="I191" s="606"/>
      <c r="J191" s="606"/>
      <c r="K191" s="590" t="s">
        <v>544</v>
      </c>
      <c r="L191" s="606"/>
      <c r="M191" s="606"/>
      <c r="N191" s="606"/>
      <c r="O191" s="606"/>
      <c r="P191" s="698"/>
      <c r="Q191" s="698"/>
      <c r="R191" s="698"/>
      <c r="S191" s="698"/>
      <c r="T191" s="697"/>
    </row>
    <row r="192" spans="1:20" hidden="1">
      <c r="A192" s="686"/>
      <c r="B192" s="690" t="s">
        <v>684</v>
      </c>
      <c r="C192" s="687"/>
      <c r="D192" s="688">
        <f>'[2]总投资-发采购-0411-GLP拆分场外费用(司调)'!G64</f>
        <v>864.24919376268497</v>
      </c>
      <c r="E192" s="693">
        <f t="shared" si="13"/>
        <v>121.55403569095428</v>
      </c>
      <c r="F192" s="689">
        <f t="shared" si="11"/>
        <v>121.55403569095428</v>
      </c>
      <c r="G192" s="689">
        <f t="shared" si="12"/>
        <v>864.24919376268497</v>
      </c>
      <c r="H192" s="606" t="s">
        <v>543</v>
      </c>
      <c r="I192" s="606"/>
      <c r="J192" s="606"/>
      <c r="K192" s="590" t="s">
        <v>544</v>
      </c>
      <c r="L192" s="606"/>
      <c r="M192" s="606"/>
      <c r="N192" s="606"/>
      <c r="O192" s="606"/>
      <c r="P192" s="698"/>
      <c r="Q192" s="698"/>
      <c r="R192" s="698"/>
      <c r="S192" s="698"/>
      <c r="T192" s="697"/>
    </row>
    <row r="193" spans="1:20" hidden="1">
      <c r="A193" s="686" t="s">
        <v>323</v>
      </c>
      <c r="B193" s="690" t="s">
        <v>685</v>
      </c>
      <c r="C193" s="687"/>
      <c r="D193" s="688">
        <f>'[2]总投资-发采购-0411-GLP拆分场外费用(司调)'!G65</f>
        <v>65</v>
      </c>
      <c r="E193" s="693">
        <f t="shared" si="13"/>
        <v>9.1420534458509142</v>
      </c>
      <c r="F193" s="689">
        <f t="shared" si="11"/>
        <v>9.1420534458509142</v>
      </c>
      <c r="G193" s="689">
        <f t="shared" si="12"/>
        <v>65</v>
      </c>
      <c r="H193" s="606" t="s">
        <v>543</v>
      </c>
      <c r="I193" s="606"/>
      <c r="J193" s="606"/>
      <c r="K193" s="590" t="s">
        <v>544</v>
      </c>
      <c r="L193" s="606"/>
      <c r="M193" s="606"/>
      <c r="N193" s="606"/>
      <c r="O193" s="606"/>
      <c r="P193" s="698"/>
      <c r="Q193" s="698"/>
      <c r="R193" s="698"/>
      <c r="S193" s="698"/>
      <c r="T193" s="697"/>
    </row>
    <row r="194" spans="1:20" hidden="1">
      <c r="A194" s="686"/>
      <c r="B194" s="690" t="s">
        <v>686</v>
      </c>
      <c r="C194" s="687"/>
      <c r="D194" s="688">
        <f>'[2]总投资-发采购-0411-GLP拆分场外费用(司调)'!G66</f>
        <v>1</v>
      </c>
      <c r="E194" s="693">
        <f t="shared" si="13"/>
        <v>0.14064697609001406</v>
      </c>
      <c r="F194" s="689">
        <f t="shared" si="11"/>
        <v>0.14064697609001406</v>
      </c>
      <c r="G194" s="689">
        <f t="shared" si="12"/>
        <v>1</v>
      </c>
      <c r="H194" s="606" t="s">
        <v>543</v>
      </c>
      <c r="I194" s="606"/>
      <c r="J194" s="606"/>
      <c r="K194" s="590" t="s">
        <v>544</v>
      </c>
      <c r="L194" s="606"/>
      <c r="M194" s="606"/>
      <c r="N194" s="606"/>
      <c r="O194" s="606"/>
      <c r="P194" s="698"/>
      <c r="Q194" s="698"/>
      <c r="R194" s="698"/>
      <c r="S194" s="698"/>
      <c r="T194" s="697"/>
    </row>
    <row r="195" spans="1:20" hidden="1">
      <c r="A195" s="686"/>
      <c r="B195" s="690" t="s">
        <v>687</v>
      </c>
      <c r="C195" s="687"/>
      <c r="D195" s="688">
        <f>'[2]总投资-发采购-0411-GLP拆分场外费用(司调)'!G67</f>
        <v>11</v>
      </c>
      <c r="E195" s="693">
        <f t="shared" si="13"/>
        <v>1.5471167369901546</v>
      </c>
      <c r="F195" s="689">
        <f t="shared" si="11"/>
        <v>1.5471167369901546</v>
      </c>
      <c r="G195" s="689">
        <f t="shared" si="12"/>
        <v>11</v>
      </c>
      <c r="H195" s="606" t="s">
        <v>543</v>
      </c>
      <c r="I195" s="606"/>
      <c r="J195" s="606"/>
      <c r="K195" s="590" t="s">
        <v>544</v>
      </c>
      <c r="L195" s="606"/>
      <c r="M195" s="606"/>
      <c r="N195" s="606"/>
      <c r="O195" s="606"/>
      <c r="P195" s="698"/>
      <c r="Q195" s="698"/>
      <c r="R195" s="698"/>
      <c r="S195" s="698"/>
      <c r="T195" s="697"/>
    </row>
    <row r="196" spans="1:20" hidden="1">
      <c r="A196" s="686"/>
      <c r="B196" s="690" t="s">
        <v>688</v>
      </c>
      <c r="C196" s="687"/>
      <c r="D196" s="688">
        <f>'[2]总投资-发采购-0411-GLP拆分场外费用(司调)'!G68</f>
        <v>53</v>
      </c>
      <c r="E196" s="693">
        <f t="shared" si="13"/>
        <v>7.4542897327707447</v>
      </c>
      <c r="F196" s="689">
        <f t="shared" si="11"/>
        <v>7.4542897327707447</v>
      </c>
      <c r="G196" s="689">
        <f t="shared" si="12"/>
        <v>53</v>
      </c>
      <c r="H196" s="606" t="s">
        <v>543</v>
      </c>
      <c r="I196" s="606"/>
      <c r="J196" s="606"/>
      <c r="K196" s="590" t="s">
        <v>544</v>
      </c>
      <c r="L196" s="606"/>
      <c r="M196" s="606"/>
      <c r="N196" s="606"/>
      <c r="O196" s="606"/>
      <c r="P196" s="698"/>
      <c r="Q196" s="698"/>
      <c r="R196" s="698"/>
      <c r="S196" s="698"/>
      <c r="T196" s="697"/>
    </row>
    <row r="197" spans="1:20" hidden="1">
      <c r="A197" s="686">
        <v>2.7</v>
      </c>
      <c r="B197" s="690" t="s">
        <v>727</v>
      </c>
      <c r="C197" s="687"/>
      <c r="D197" s="688">
        <f>'[2]总投资-发采购-0411-GLP拆分场外费用(司调)'!G69</f>
        <v>5776.8425281711698</v>
      </c>
      <c r="E197" s="693">
        <f t="shared" si="13"/>
        <v>812.49543293546685</v>
      </c>
      <c r="F197" s="689">
        <f t="shared" si="11"/>
        <v>812.49543293546685</v>
      </c>
      <c r="G197" s="689">
        <f t="shared" si="12"/>
        <v>5776.8425281711698</v>
      </c>
      <c r="H197" s="606" t="s">
        <v>543</v>
      </c>
      <c r="I197" s="606"/>
      <c r="J197" s="606"/>
      <c r="K197" s="590" t="s">
        <v>544</v>
      </c>
      <c r="L197" s="606"/>
      <c r="M197" s="606"/>
      <c r="N197" s="606"/>
      <c r="O197" s="606"/>
      <c r="P197" s="698"/>
      <c r="Q197" s="698"/>
      <c r="R197" s="698"/>
      <c r="S197" s="698"/>
      <c r="T197" s="697"/>
    </row>
    <row r="198" spans="1:20" hidden="1">
      <c r="A198" s="686" t="s">
        <v>325</v>
      </c>
      <c r="B198" s="690" t="s">
        <v>677</v>
      </c>
      <c r="C198" s="687"/>
      <c r="D198" s="688">
        <f>'[2]总投资-发采购-0411-GLP拆分场外费用(司调)'!G70</f>
        <v>3574</v>
      </c>
      <c r="E198" s="693">
        <f t="shared" si="13"/>
        <v>502.67229254571026</v>
      </c>
      <c r="F198" s="689">
        <f t="shared" si="11"/>
        <v>502.67229254571026</v>
      </c>
      <c r="G198" s="689">
        <f t="shared" si="12"/>
        <v>3574</v>
      </c>
      <c r="H198" s="606" t="s">
        <v>543</v>
      </c>
      <c r="I198" s="606"/>
      <c r="J198" s="606"/>
      <c r="K198" s="590" t="s">
        <v>544</v>
      </c>
      <c r="L198" s="606"/>
      <c r="M198" s="606"/>
      <c r="N198" s="606"/>
      <c r="O198" s="606"/>
      <c r="P198" s="698"/>
      <c r="Q198" s="698"/>
      <c r="R198" s="698"/>
      <c r="S198" s="698"/>
      <c r="T198" s="697"/>
    </row>
    <row r="199" spans="1:20" hidden="1">
      <c r="A199" s="686" t="s">
        <v>326</v>
      </c>
      <c r="B199" s="690" t="s">
        <v>678</v>
      </c>
      <c r="C199" s="687"/>
      <c r="D199" s="688">
        <f>'[2]总投资-发采购-0411-GLP拆分场外费用(司调)'!G71</f>
        <v>18.29888</v>
      </c>
      <c r="E199" s="693">
        <f t="shared" si="13"/>
        <v>2.5736821378340364</v>
      </c>
      <c r="F199" s="689">
        <f t="shared" si="11"/>
        <v>2.5736821378340364</v>
      </c>
      <c r="G199" s="689">
        <f t="shared" si="12"/>
        <v>18.29888</v>
      </c>
      <c r="H199" s="606" t="s">
        <v>543</v>
      </c>
      <c r="I199" s="606"/>
      <c r="J199" s="606"/>
      <c r="K199" s="590" t="s">
        <v>544</v>
      </c>
      <c r="L199" s="606"/>
      <c r="M199" s="606"/>
      <c r="N199" s="606"/>
      <c r="O199" s="606"/>
      <c r="P199" s="698"/>
      <c r="Q199" s="698"/>
      <c r="R199" s="698"/>
      <c r="S199" s="698"/>
      <c r="T199" s="697"/>
    </row>
    <row r="200" spans="1:20" hidden="1">
      <c r="A200" s="686" t="s">
        <v>327</v>
      </c>
      <c r="B200" s="690" t="s">
        <v>679</v>
      </c>
      <c r="C200" s="687"/>
      <c r="D200" s="688">
        <f>'[2]总投资-发采购-0411-GLP拆分场外费用(司调)'!G72</f>
        <v>164.68992</v>
      </c>
      <c r="E200" s="693">
        <f t="shared" si="13"/>
        <v>23.163139240506329</v>
      </c>
      <c r="F200" s="689">
        <f t="shared" si="11"/>
        <v>23.163139240506329</v>
      </c>
      <c r="G200" s="689">
        <f t="shared" si="12"/>
        <v>164.68992</v>
      </c>
      <c r="H200" s="606" t="s">
        <v>543</v>
      </c>
      <c r="I200" s="606"/>
      <c r="J200" s="606"/>
      <c r="K200" s="590" t="s">
        <v>544</v>
      </c>
      <c r="L200" s="606"/>
      <c r="M200" s="606"/>
      <c r="N200" s="606"/>
      <c r="O200" s="606"/>
      <c r="P200" s="698"/>
      <c r="Q200" s="698"/>
      <c r="R200" s="698"/>
      <c r="S200" s="698"/>
      <c r="T200" s="697"/>
    </row>
    <row r="201" spans="1:20" hidden="1">
      <c r="A201" s="686" t="s">
        <v>328</v>
      </c>
      <c r="B201" s="690" t="s">
        <v>680</v>
      </c>
      <c r="C201" s="687"/>
      <c r="D201" s="688">
        <f>'[2]总投资-发采购-0411-GLP拆分场外费用(司调)'!G73</f>
        <v>128.09216000000001</v>
      </c>
      <c r="E201" s="693">
        <f t="shared" si="13"/>
        <v>18.015774964838258</v>
      </c>
      <c r="F201" s="689">
        <f t="shared" si="11"/>
        <v>18.015774964838258</v>
      </c>
      <c r="G201" s="689">
        <f t="shared" si="12"/>
        <v>128.09216000000001</v>
      </c>
      <c r="H201" s="606" t="s">
        <v>543</v>
      </c>
      <c r="I201" s="606"/>
      <c r="J201" s="606"/>
      <c r="K201" s="590" t="s">
        <v>544</v>
      </c>
      <c r="L201" s="606"/>
      <c r="M201" s="606"/>
      <c r="N201" s="606"/>
      <c r="O201" s="606"/>
      <c r="P201" s="698"/>
      <c r="Q201" s="698"/>
      <c r="R201" s="698"/>
      <c r="S201" s="698"/>
      <c r="T201" s="697"/>
    </row>
    <row r="202" spans="1:20" hidden="1">
      <c r="A202" s="686" t="s">
        <v>329</v>
      </c>
      <c r="B202" s="690" t="s">
        <v>681</v>
      </c>
      <c r="C202" s="687"/>
      <c r="D202" s="688">
        <f>'[2]总投资-发采购-0411-GLP拆分场外费用(司调)'!G74</f>
        <v>283.63263999999998</v>
      </c>
      <c r="E202" s="693">
        <f t="shared" si="13"/>
        <v>39.892073136427562</v>
      </c>
      <c r="F202" s="689">
        <f t="shared" si="11"/>
        <v>39.892073136427562</v>
      </c>
      <c r="G202" s="689">
        <f t="shared" si="12"/>
        <v>283.63263999999998</v>
      </c>
      <c r="H202" s="606" t="s">
        <v>543</v>
      </c>
      <c r="I202" s="606"/>
      <c r="J202" s="606"/>
      <c r="K202" s="590" t="s">
        <v>544</v>
      </c>
      <c r="L202" s="606"/>
      <c r="M202" s="606"/>
      <c r="N202" s="606"/>
      <c r="O202" s="606"/>
      <c r="P202" s="698"/>
      <c r="Q202" s="698"/>
      <c r="R202" s="698"/>
      <c r="S202" s="698"/>
      <c r="T202" s="697"/>
    </row>
    <row r="203" spans="1:20" hidden="1">
      <c r="A203" s="686" t="s">
        <v>330</v>
      </c>
      <c r="B203" s="690" t="s">
        <v>682</v>
      </c>
      <c r="C203" s="687"/>
      <c r="D203" s="688">
        <f>'[2]总投资-发采购-0411-GLP拆分场外费用(司调)'!G75</f>
        <v>78.158937277231303</v>
      </c>
      <c r="E203" s="693">
        <f t="shared" si="13"/>
        <v>10.992818182451659</v>
      </c>
      <c r="F203" s="689">
        <f t="shared" si="11"/>
        <v>10.992818182451659</v>
      </c>
      <c r="G203" s="689">
        <f t="shared" si="12"/>
        <v>78.158937277231303</v>
      </c>
      <c r="H203" s="606" t="s">
        <v>543</v>
      </c>
      <c r="I203" s="606"/>
      <c r="J203" s="606"/>
      <c r="K203" s="590" t="s">
        <v>544</v>
      </c>
      <c r="L203" s="606"/>
      <c r="M203" s="606"/>
      <c r="N203" s="606"/>
      <c r="O203" s="606"/>
      <c r="P203" s="698"/>
      <c r="Q203" s="698"/>
      <c r="R203" s="698"/>
      <c r="S203" s="698"/>
      <c r="T203" s="697"/>
    </row>
    <row r="204" spans="1:20" hidden="1">
      <c r="A204" s="686" t="s">
        <v>331</v>
      </c>
      <c r="B204" s="690" t="s">
        <v>683</v>
      </c>
      <c r="C204" s="687"/>
      <c r="D204" s="688">
        <f>'[2]总投资-发采购-0411-GLP拆分场外费用(司调)'!G76</f>
        <v>571.84</v>
      </c>
      <c r="E204" s="693">
        <f t="shared" si="13"/>
        <v>80.427566807313639</v>
      </c>
      <c r="F204" s="689">
        <f t="shared" si="11"/>
        <v>80.427566807313639</v>
      </c>
      <c r="G204" s="689">
        <f t="shared" si="12"/>
        <v>571.84</v>
      </c>
      <c r="H204" s="606" t="s">
        <v>543</v>
      </c>
      <c r="I204" s="606"/>
      <c r="J204" s="606"/>
      <c r="K204" s="590" t="s">
        <v>544</v>
      </c>
      <c r="L204" s="606"/>
      <c r="M204" s="606"/>
      <c r="N204" s="606"/>
      <c r="O204" s="606"/>
      <c r="P204" s="698"/>
      <c r="Q204" s="698"/>
      <c r="R204" s="698"/>
      <c r="S204" s="698"/>
      <c r="T204" s="697"/>
    </row>
    <row r="205" spans="1:20" hidden="1">
      <c r="A205" s="686"/>
      <c r="B205" s="690" t="s">
        <v>684</v>
      </c>
      <c r="C205" s="687"/>
      <c r="D205" s="688">
        <f>'[2]总投资-发采购-0411-GLP拆分场外费用(司调)'!G77</f>
        <v>893.12999089393804</v>
      </c>
      <c r="E205" s="693">
        <f t="shared" si="13"/>
        <v>125.61603247453418</v>
      </c>
      <c r="F205" s="689">
        <f t="shared" si="11"/>
        <v>125.61603247453418</v>
      </c>
      <c r="G205" s="689">
        <f t="shared" si="12"/>
        <v>893.12999089393804</v>
      </c>
      <c r="H205" s="606" t="s">
        <v>543</v>
      </c>
      <c r="I205" s="606"/>
      <c r="J205" s="606"/>
      <c r="K205" s="590" t="s">
        <v>544</v>
      </c>
      <c r="L205" s="606"/>
      <c r="M205" s="606"/>
      <c r="N205" s="606"/>
      <c r="O205" s="606"/>
      <c r="P205" s="698"/>
      <c r="Q205" s="698"/>
      <c r="R205" s="698"/>
      <c r="S205" s="698"/>
      <c r="T205" s="697"/>
    </row>
    <row r="206" spans="1:20" hidden="1">
      <c r="A206" s="686" t="s">
        <v>332</v>
      </c>
      <c r="B206" s="690" t="s">
        <v>685</v>
      </c>
      <c r="C206" s="687"/>
      <c r="D206" s="688">
        <f>'[2]总投资-发采购-0411-GLP拆分场外费用(司调)'!G78</f>
        <v>65</v>
      </c>
      <c r="E206" s="693">
        <f t="shared" si="13"/>
        <v>9.1420534458509142</v>
      </c>
      <c r="F206" s="689">
        <f t="shared" si="11"/>
        <v>9.1420534458509142</v>
      </c>
      <c r="G206" s="689">
        <f t="shared" si="12"/>
        <v>65</v>
      </c>
      <c r="H206" s="606" t="s">
        <v>543</v>
      </c>
      <c r="I206" s="606"/>
      <c r="J206" s="606"/>
      <c r="K206" s="590" t="s">
        <v>544</v>
      </c>
      <c r="L206" s="606"/>
      <c r="M206" s="606"/>
      <c r="N206" s="606"/>
      <c r="O206" s="606"/>
      <c r="P206" s="698"/>
      <c r="Q206" s="698"/>
      <c r="R206" s="698"/>
      <c r="S206" s="698"/>
      <c r="T206" s="697"/>
    </row>
    <row r="207" spans="1:20" hidden="1">
      <c r="A207" s="686"/>
      <c r="B207" s="690" t="s">
        <v>686</v>
      </c>
      <c r="C207" s="687"/>
      <c r="D207" s="688">
        <f>'[2]总投资-发采购-0411-GLP拆分场外费用(司调)'!G79</f>
        <v>1</v>
      </c>
      <c r="E207" s="693">
        <f t="shared" si="13"/>
        <v>0.14064697609001406</v>
      </c>
      <c r="F207" s="689">
        <f t="shared" si="11"/>
        <v>0.14064697609001406</v>
      </c>
      <c r="G207" s="689">
        <f t="shared" si="12"/>
        <v>1</v>
      </c>
      <c r="H207" s="606" t="s">
        <v>543</v>
      </c>
      <c r="I207" s="606"/>
      <c r="J207" s="606"/>
      <c r="K207" s="590" t="s">
        <v>544</v>
      </c>
      <c r="L207" s="606"/>
      <c r="M207" s="606"/>
      <c r="N207" s="606"/>
      <c r="O207" s="606"/>
      <c r="P207" s="698"/>
      <c r="Q207" s="698"/>
      <c r="R207" s="698"/>
      <c r="S207" s="698"/>
      <c r="T207" s="697"/>
    </row>
    <row r="208" spans="1:20" hidden="1">
      <c r="A208" s="686"/>
      <c r="B208" s="690" t="s">
        <v>687</v>
      </c>
      <c r="C208" s="687"/>
      <c r="D208" s="688">
        <f>'[2]总投资-发采购-0411-GLP拆分场外费用(司调)'!G80</f>
        <v>11</v>
      </c>
      <c r="E208" s="693">
        <f t="shared" si="13"/>
        <v>1.5471167369901546</v>
      </c>
      <c r="F208" s="689">
        <f t="shared" ref="F208:F211" si="14">E208</f>
        <v>1.5471167369901546</v>
      </c>
      <c r="G208" s="689">
        <f t="shared" si="12"/>
        <v>11</v>
      </c>
      <c r="H208" s="606" t="s">
        <v>543</v>
      </c>
      <c r="I208" s="606"/>
      <c r="J208" s="606"/>
      <c r="K208" s="590" t="s">
        <v>544</v>
      </c>
      <c r="L208" s="606"/>
      <c r="M208" s="606"/>
      <c r="N208" s="606"/>
      <c r="O208" s="606"/>
      <c r="P208" s="698"/>
      <c r="Q208" s="698"/>
      <c r="R208" s="698"/>
      <c r="S208" s="698"/>
      <c r="T208" s="697"/>
    </row>
    <row r="209" spans="1:20" hidden="1">
      <c r="A209" s="686"/>
      <c r="B209" s="690" t="s">
        <v>688</v>
      </c>
      <c r="C209" s="687"/>
      <c r="D209" s="688">
        <f>'[2]总投资-发采购-0411-GLP拆分场外费用(司调)'!G81</f>
        <v>53</v>
      </c>
      <c r="E209" s="693">
        <f t="shared" si="13"/>
        <v>7.4542897327707447</v>
      </c>
      <c r="F209" s="689">
        <f t="shared" si="14"/>
        <v>7.4542897327707447</v>
      </c>
      <c r="G209" s="689">
        <f t="shared" si="12"/>
        <v>53</v>
      </c>
      <c r="H209" s="606" t="s">
        <v>543</v>
      </c>
      <c r="I209" s="606"/>
      <c r="J209" s="606"/>
      <c r="K209" s="590" t="s">
        <v>544</v>
      </c>
      <c r="L209" s="606"/>
      <c r="M209" s="606"/>
      <c r="N209" s="606"/>
      <c r="O209" s="606"/>
      <c r="P209" s="698"/>
      <c r="Q209" s="698"/>
      <c r="R209" s="698"/>
      <c r="S209" s="698"/>
      <c r="T209" s="697"/>
    </row>
    <row r="210" spans="1:20">
      <c r="A210" s="606" t="s">
        <v>44</v>
      </c>
      <c r="B210" s="709" t="s">
        <v>548</v>
      </c>
      <c r="C210" s="709" t="s">
        <v>640</v>
      </c>
      <c r="D210" s="710">
        <f>SUM('[2]总投资-发采购-0411-GLP拆分场外费用(司调)'!G205,'[2]总投资-发采购-0411-GLP拆分场外费用(司调)'!G208,'[2]总投资-发采购-0411-GLP拆分场外费用(司调)'!G211,'[2]总投资-发采购-0411-GLP拆分场外费用(司调)'!G214,'[2]总投资-发采购-0411-GLP拆分场外费用(司调)'!G218)</f>
        <v>3292.1051520000001</v>
      </c>
      <c r="E210" s="711">
        <f t="shared" si="13"/>
        <v>463.02463459915612</v>
      </c>
      <c r="F210" s="712">
        <f t="shared" si="14"/>
        <v>463.02463459915612</v>
      </c>
      <c r="G210" s="712">
        <f t="shared" si="12"/>
        <v>3292.1051520000001</v>
      </c>
      <c r="H210" s="606" t="s">
        <v>543</v>
      </c>
      <c r="I210" s="606" t="s">
        <v>30</v>
      </c>
      <c r="J210" s="606">
        <v>12</v>
      </c>
      <c r="K210" s="590" t="s">
        <v>31</v>
      </c>
      <c r="L210" s="606"/>
      <c r="M210" s="606"/>
      <c r="N210" s="606"/>
      <c r="O210" s="606"/>
      <c r="P210" s="698" t="s">
        <v>337</v>
      </c>
      <c r="Q210" s="698" t="s">
        <v>338</v>
      </c>
      <c r="R210" s="698" t="s">
        <v>136</v>
      </c>
      <c r="S210" s="698" t="s">
        <v>339</v>
      </c>
      <c r="T210" s="697"/>
    </row>
    <row r="211" spans="1:20">
      <c r="A211" s="1075" t="s">
        <v>104</v>
      </c>
      <c r="B211" s="1076"/>
      <c r="C211" s="1077"/>
      <c r="D211" s="713">
        <f>SUM(D7,D30,D44,D74,D117,D157,D210)</f>
        <v>174384.82564401845</v>
      </c>
      <c r="E211" s="713">
        <f>SUM(E7)</f>
        <v>967.19455955304363</v>
      </c>
      <c r="F211" s="714">
        <f t="shared" si="14"/>
        <v>967.19455955304363</v>
      </c>
      <c r="G211" s="714">
        <f t="shared" si="12"/>
        <v>174384.82564401845</v>
      </c>
      <c r="H211" s="606"/>
      <c r="I211" s="606"/>
      <c r="J211" s="606"/>
      <c r="K211" s="606"/>
      <c r="L211" s="606"/>
      <c r="M211" s="606"/>
      <c r="N211" s="606"/>
      <c r="O211" s="606"/>
      <c r="P211" s="738"/>
      <c r="Q211" s="738"/>
      <c r="R211" s="738"/>
      <c r="S211" s="738"/>
      <c r="T211" s="606"/>
    </row>
    <row r="212" spans="1:20">
      <c r="A212" s="678" t="s">
        <v>48</v>
      </c>
      <c r="B212" s="1079" t="s">
        <v>49</v>
      </c>
      <c r="C212" s="1079"/>
      <c r="D212" s="1079"/>
      <c r="E212" s="1079"/>
      <c r="F212" s="1079"/>
      <c r="G212" s="1079"/>
      <c r="H212" s="1079"/>
      <c r="I212" s="1079"/>
      <c r="J212" s="1079"/>
      <c r="K212" s="1079"/>
      <c r="L212" s="1079"/>
      <c r="M212" s="1079"/>
      <c r="N212" s="1079"/>
      <c r="O212" s="1079"/>
      <c r="P212" s="1079"/>
      <c r="Q212" s="1079"/>
      <c r="R212" s="1079"/>
      <c r="S212" s="1079"/>
      <c r="T212" s="1080"/>
    </row>
    <row r="213" spans="1:20" ht="26.4">
      <c r="A213" s="715" t="s">
        <v>50</v>
      </c>
      <c r="B213" s="716" t="s">
        <v>49</v>
      </c>
      <c r="C213" s="716" t="s">
        <v>641</v>
      </c>
      <c r="D213" s="684">
        <f>SUM('[2]总投资-发采购-0411-GLP拆分场外费用(司调)'!G236,'[2]总投资-发采购-0411-GLP拆分场外费用(司调)'!G223)</f>
        <v>28051.084587734578</v>
      </c>
      <c r="E213" s="712">
        <f>D213/$A$3</f>
        <v>3945.3002233100669</v>
      </c>
      <c r="F213" s="712">
        <f t="shared" ref="F213:F241" si="15">E213</f>
        <v>3945.3002233100669</v>
      </c>
      <c r="G213" s="685">
        <f t="shared" ref="G213:G241" si="16">D213</f>
        <v>28051.084587734578</v>
      </c>
      <c r="H213" s="715" t="s">
        <v>543</v>
      </c>
      <c r="I213" s="715" t="s">
        <v>30</v>
      </c>
      <c r="J213" s="715">
        <v>18</v>
      </c>
      <c r="K213" s="590" t="s">
        <v>31</v>
      </c>
      <c r="L213" s="715" t="s">
        <v>730</v>
      </c>
      <c r="M213" s="715"/>
      <c r="N213" s="715"/>
      <c r="O213" s="715"/>
      <c r="P213" s="715">
        <v>2025.3</v>
      </c>
      <c r="Q213" s="715">
        <v>2025.4</v>
      </c>
      <c r="R213" s="698" t="s">
        <v>136</v>
      </c>
      <c r="S213" s="698" t="s">
        <v>137</v>
      </c>
      <c r="T213" s="709"/>
    </row>
    <row r="214" spans="1:20" hidden="1">
      <c r="A214" s="717">
        <v>3.2</v>
      </c>
      <c r="B214" s="717" t="s">
        <v>731</v>
      </c>
      <c r="C214" s="718"/>
      <c r="D214" s="719">
        <f>'[2]总投资-发采购-0411-GLP拆分场外费用(司调)'!G236</f>
        <v>8098.2373475978802</v>
      </c>
      <c r="E214" s="720">
        <f>D214/$A$3</f>
        <v>1138.992594598858</v>
      </c>
      <c r="F214" s="720">
        <f t="shared" si="15"/>
        <v>1138.992594598858</v>
      </c>
      <c r="G214" s="720">
        <f t="shared" si="16"/>
        <v>8098.2373475978802</v>
      </c>
      <c r="H214" s="606"/>
      <c r="I214" s="606"/>
      <c r="J214" s="606"/>
      <c r="K214" s="697"/>
      <c r="L214" s="606"/>
      <c r="M214" s="606"/>
      <c r="N214" s="606"/>
      <c r="O214" s="606"/>
      <c r="P214" s="715"/>
      <c r="Q214" s="715"/>
      <c r="R214" s="698"/>
      <c r="S214" s="698"/>
      <c r="T214" s="709"/>
    </row>
    <row r="215" spans="1:20" hidden="1">
      <c r="A215" s="721" t="s">
        <v>345</v>
      </c>
      <c r="B215" s="721" t="s">
        <v>677</v>
      </c>
      <c r="C215" s="722"/>
      <c r="D215" s="688">
        <f>'[2]总投资-发采购-0411-GLP拆分场外费用(司调)'!G237</f>
        <v>4284.5</v>
      </c>
      <c r="E215" s="689">
        <f t="shared" ref="E215:E241" si="17">D215/$A$3</f>
        <v>602.6019690576652</v>
      </c>
      <c r="F215" s="689">
        <f t="shared" si="15"/>
        <v>602.6019690576652</v>
      </c>
      <c r="G215" s="689">
        <f t="shared" si="16"/>
        <v>4284.5</v>
      </c>
      <c r="H215" s="606"/>
      <c r="I215" s="606"/>
      <c r="J215" s="606"/>
      <c r="K215" s="697"/>
      <c r="L215" s="606"/>
      <c r="M215" s="606"/>
      <c r="N215" s="606"/>
      <c r="O215" s="606"/>
      <c r="P215" s="715"/>
      <c r="Q215" s="715"/>
      <c r="R215" s="698"/>
      <c r="S215" s="698"/>
      <c r="T215" s="709"/>
    </row>
    <row r="216" spans="1:20" hidden="1">
      <c r="A216" s="721" t="s">
        <v>346</v>
      </c>
      <c r="B216" s="721" t="s">
        <v>678</v>
      </c>
      <c r="C216" s="722"/>
      <c r="D216" s="688">
        <f>'[2]总投资-发采购-0411-GLP拆分场外费用(司调)'!G238</f>
        <v>26.125</v>
      </c>
      <c r="E216" s="689">
        <f t="shared" si="17"/>
        <v>3.6744022503516174</v>
      </c>
      <c r="F216" s="689">
        <f t="shared" si="15"/>
        <v>3.6744022503516174</v>
      </c>
      <c r="G216" s="689">
        <f t="shared" si="16"/>
        <v>26.125</v>
      </c>
      <c r="H216" s="606"/>
      <c r="I216" s="606"/>
      <c r="J216" s="606"/>
      <c r="K216" s="697"/>
      <c r="L216" s="606"/>
      <c r="M216" s="606"/>
      <c r="N216" s="606"/>
      <c r="O216" s="606"/>
      <c r="P216" s="715"/>
      <c r="Q216" s="715"/>
      <c r="R216" s="698"/>
      <c r="S216" s="698"/>
      <c r="T216" s="709"/>
    </row>
    <row r="217" spans="1:20" hidden="1">
      <c r="A217" s="721" t="s">
        <v>347</v>
      </c>
      <c r="B217" s="721" t="s">
        <v>679</v>
      </c>
      <c r="C217" s="722"/>
      <c r="D217" s="688">
        <f>'[2]总投资-发采购-0411-GLP拆分场外费用(司调)'!G239</f>
        <v>151.52500000000001</v>
      </c>
      <c r="E217" s="689">
        <f t="shared" si="17"/>
        <v>21.31153305203938</v>
      </c>
      <c r="F217" s="689">
        <f t="shared" si="15"/>
        <v>21.31153305203938</v>
      </c>
      <c r="G217" s="689">
        <f t="shared" si="16"/>
        <v>151.52500000000001</v>
      </c>
      <c r="H217" s="606"/>
      <c r="I217" s="606"/>
      <c r="J217" s="606"/>
      <c r="K217" s="697"/>
      <c r="L217" s="606"/>
      <c r="M217" s="606"/>
      <c r="N217" s="606"/>
      <c r="O217" s="606"/>
      <c r="P217" s="715"/>
      <c r="Q217" s="715"/>
      <c r="R217" s="698"/>
      <c r="S217" s="698"/>
      <c r="T217" s="709"/>
    </row>
    <row r="218" spans="1:20" hidden="1">
      <c r="A218" s="721" t="s">
        <v>348</v>
      </c>
      <c r="B218" s="721" t="s">
        <v>680</v>
      </c>
      <c r="C218" s="722"/>
      <c r="D218" s="688">
        <f>'[2]总投资-发采购-0411-GLP拆分场外费用(司调)'!G240</f>
        <v>120.175</v>
      </c>
      <c r="E218" s="689">
        <f t="shared" si="17"/>
        <v>16.90225035161744</v>
      </c>
      <c r="F218" s="689">
        <f t="shared" si="15"/>
        <v>16.90225035161744</v>
      </c>
      <c r="G218" s="689">
        <f t="shared" si="16"/>
        <v>120.175</v>
      </c>
      <c r="H218" s="606"/>
      <c r="I218" s="606"/>
      <c r="J218" s="606"/>
      <c r="K218" s="697"/>
      <c r="L218" s="606"/>
      <c r="M218" s="606"/>
      <c r="N218" s="606"/>
      <c r="O218" s="606"/>
      <c r="P218" s="715"/>
      <c r="Q218" s="715"/>
      <c r="R218" s="698"/>
      <c r="S218" s="698"/>
      <c r="T218" s="709"/>
    </row>
    <row r="219" spans="1:20" hidden="1">
      <c r="A219" s="721" t="s">
        <v>349</v>
      </c>
      <c r="B219" s="721" t="s">
        <v>681</v>
      </c>
      <c r="C219" s="722"/>
      <c r="D219" s="688">
        <f>'[2]总投资-发采购-0411-GLP拆分场外费用(司调)'!G241</f>
        <v>146.30000000000001</v>
      </c>
      <c r="E219" s="689">
        <f t="shared" si="17"/>
        <v>20.576652601969059</v>
      </c>
      <c r="F219" s="689">
        <f t="shared" si="15"/>
        <v>20.576652601969059</v>
      </c>
      <c r="G219" s="689">
        <f t="shared" si="16"/>
        <v>146.30000000000001</v>
      </c>
      <c r="H219" s="606"/>
      <c r="I219" s="606"/>
      <c r="J219" s="606"/>
      <c r="K219" s="697"/>
      <c r="L219" s="606"/>
      <c r="M219" s="606"/>
      <c r="N219" s="606"/>
      <c r="O219" s="606"/>
      <c r="P219" s="715"/>
      <c r="Q219" s="715"/>
      <c r="R219" s="698"/>
      <c r="S219" s="698"/>
      <c r="T219" s="709"/>
    </row>
    <row r="220" spans="1:20" hidden="1">
      <c r="A220" s="721" t="s">
        <v>350</v>
      </c>
      <c r="B220" s="721" t="s">
        <v>682</v>
      </c>
      <c r="C220" s="722"/>
      <c r="D220" s="688">
        <f>'[2]总投资-发采购-0411-GLP拆分场外费用(司调)'!G242</f>
        <v>41.8</v>
      </c>
      <c r="E220" s="689">
        <f t="shared" si="17"/>
        <v>5.8790436005625875</v>
      </c>
      <c r="F220" s="689">
        <f t="shared" si="15"/>
        <v>5.8790436005625875</v>
      </c>
      <c r="G220" s="689">
        <f t="shared" si="16"/>
        <v>41.8</v>
      </c>
      <c r="H220" s="606"/>
      <c r="I220" s="606"/>
      <c r="J220" s="606"/>
      <c r="K220" s="697"/>
      <c r="L220" s="606"/>
      <c r="M220" s="606"/>
      <c r="N220" s="606"/>
      <c r="O220" s="606"/>
      <c r="P220" s="715"/>
      <c r="Q220" s="715"/>
      <c r="R220" s="698"/>
      <c r="S220" s="698"/>
      <c r="T220" s="709"/>
    </row>
    <row r="221" spans="1:20" hidden="1">
      <c r="A221" s="721" t="s">
        <v>351</v>
      </c>
      <c r="B221" s="721" t="s">
        <v>683</v>
      </c>
      <c r="C221" s="722"/>
      <c r="D221" s="688">
        <f>'[2]总投资-发采购-0411-GLP拆分场外费用(司调)'!G243</f>
        <v>209</v>
      </c>
      <c r="E221" s="689">
        <f t="shared" si="17"/>
        <v>29.395218002812939</v>
      </c>
      <c r="F221" s="689">
        <f t="shared" si="15"/>
        <v>29.395218002812939</v>
      </c>
      <c r="G221" s="689">
        <f t="shared" si="16"/>
        <v>209</v>
      </c>
      <c r="H221" s="606"/>
      <c r="I221" s="606"/>
      <c r="J221" s="606"/>
      <c r="K221" s="697"/>
      <c r="L221" s="606"/>
      <c r="M221" s="606"/>
      <c r="N221" s="606"/>
      <c r="O221" s="606"/>
      <c r="P221" s="715"/>
      <c r="Q221" s="715"/>
      <c r="R221" s="698"/>
      <c r="S221" s="698"/>
      <c r="T221" s="709"/>
    </row>
    <row r="222" spans="1:20" hidden="1">
      <c r="A222" s="721"/>
      <c r="B222" s="721" t="s">
        <v>684</v>
      </c>
      <c r="C222" s="722"/>
      <c r="D222" s="688">
        <f>'[2]总投资-发采购-0411-GLP拆分场外费用(司调)'!G244</f>
        <v>2754.81234759788</v>
      </c>
      <c r="E222" s="689">
        <f t="shared" si="17"/>
        <v>387.45602638507455</v>
      </c>
      <c r="F222" s="689">
        <f t="shared" si="15"/>
        <v>387.45602638507455</v>
      </c>
      <c r="G222" s="689">
        <f t="shared" si="16"/>
        <v>2754.81234759788</v>
      </c>
      <c r="H222" s="606"/>
      <c r="I222" s="606"/>
      <c r="J222" s="606"/>
      <c r="K222" s="697"/>
      <c r="L222" s="606"/>
      <c r="M222" s="606"/>
      <c r="N222" s="606"/>
      <c r="O222" s="606"/>
      <c r="P222" s="715"/>
      <c r="Q222" s="715"/>
      <c r="R222" s="698"/>
      <c r="S222" s="698"/>
      <c r="T222" s="709"/>
    </row>
    <row r="223" spans="1:20" hidden="1">
      <c r="A223" s="721" t="s">
        <v>352</v>
      </c>
      <c r="B223" s="721" t="s">
        <v>685</v>
      </c>
      <c r="C223" s="722"/>
      <c r="D223" s="688">
        <f>'[2]总投资-发采购-0411-GLP拆分场外费用(司调)'!G245</f>
        <v>364</v>
      </c>
      <c r="E223" s="689">
        <f t="shared" si="17"/>
        <v>51.195499296765121</v>
      </c>
      <c r="F223" s="689">
        <f t="shared" si="15"/>
        <v>51.195499296765121</v>
      </c>
      <c r="G223" s="689">
        <f t="shared" si="16"/>
        <v>364</v>
      </c>
      <c r="H223" s="606"/>
      <c r="I223" s="606"/>
      <c r="J223" s="606"/>
      <c r="K223" s="697"/>
      <c r="L223" s="606"/>
      <c r="M223" s="606"/>
      <c r="N223" s="606"/>
      <c r="O223" s="606"/>
      <c r="P223" s="715"/>
      <c r="Q223" s="715"/>
      <c r="R223" s="698"/>
      <c r="S223" s="698"/>
      <c r="T223" s="709"/>
    </row>
    <row r="224" spans="1:20" hidden="1">
      <c r="A224" s="721"/>
      <c r="B224" s="721" t="s">
        <v>732</v>
      </c>
      <c r="C224" s="722"/>
      <c r="D224" s="688">
        <f>'[2]总投资-发采购-0411-GLP拆分场外费用(司调)'!G246</f>
        <v>289</v>
      </c>
      <c r="E224" s="689">
        <f t="shared" si="17"/>
        <v>40.646976090014064</v>
      </c>
      <c r="F224" s="689">
        <f t="shared" si="15"/>
        <v>40.646976090014064</v>
      </c>
      <c r="G224" s="689">
        <f t="shared" si="16"/>
        <v>289</v>
      </c>
      <c r="H224" s="606"/>
      <c r="I224" s="606"/>
      <c r="J224" s="606"/>
      <c r="K224" s="697"/>
      <c r="L224" s="606"/>
      <c r="M224" s="606"/>
      <c r="N224" s="606"/>
      <c r="O224" s="606"/>
      <c r="P224" s="715"/>
      <c r="Q224" s="715"/>
      <c r="R224" s="698"/>
      <c r="S224" s="698"/>
      <c r="T224" s="709"/>
    </row>
    <row r="225" spans="1:20" hidden="1">
      <c r="A225" s="721"/>
      <c r="B225" s="721" t="s">
        <v>686</v>
      </c>
      <c r="C225" s="722"/>
      <c r="D225" s="688">
        <f>'[2]总投资-发采购-0411-GLP拆分场外费用(司调)'!G247</f>
        <v>4</v>
      </c>
      <c r="E225" s="689">
        <f t="shared" si="17"/>
        <v>0.56258790436005623</v>
      </c>
      <c r="F225" s="689">
        <f t="shared" si="15"/>
        <v>0.56258790436005623</v>
      </c>
      <c r="G225" s="689">
        <f t="shared" si="16"/>
        <v>4</v>
      </c>
      <c r="H225" s="606"/>
      <c r="I225" s="606"/>
      <c r="J225" s="606"/>
      <c r="K225" s="697"/>
      <c r="L225" s="606"/>
      <c r="M225" s="606"/>
      <c r="N225" s="606"/>
      <c r="O225" s="606"/>
      <c r="P225" s="715"/>
      <c r="Q225" s="715"/>
      <c r="R225" s="698"/>
      <c r="S225" s="698"/>
      <c r="T225" s="709"/>
    </row>
    <row r="226" spans="1:20" hidden="1">
      <c r="A226" s="721"/>
      <c r="B226" s="721" t="s">
        <v>687</v>
      </c>
      <c r="C226" s="722"/>
      <c r="D226" s="688">
        <f>'[2]总投资-发采购-0411-GLP拆分场外费用(司调)'!G248</f>
        <v>4</v>
      </c>
      <c r="E226" s="689">
        <f t="shared" si="17"/>
        <v>0.56258790436005623</v>
      </c>
      <c r="F226" s="689">
        <f t="shared" si="15"/>
        <v>0.56258790436005623</v>
      </c>
      <c r="G226" s="689">
        <f t="shared" si="16"/>
        <v>4</v>
      </c>
      <c r="H226" s="606"/>
      <c r="I226" s="606"/>
      <c r="J226" s="606"/>
      <c r="K226" s="697"/>
      <c r="L226" s="606"/>
      <c r="M226" s="606"/>
      <c r="N226" s="606"/>
      <c r="O226" s="606"/>
      <c r="P226" s="715"/>
      <c r="Q226" s="715"/>
      <c r="R226" s="698"/>
      <c r="S226" s="698"/>
      <c r="T226" s="709"/>
    </row>
    <row r="227" spans="1:20" hidden="1">
      <c r="A227" s="721"/>
      <c r="B227" s="721" t="s">
        <v>688</v>
      </c>
      <c r="C227" s="722"/>
      <c r="D227" s="688">
        <f>'[2]总投资-发采购-0411-GLP拆分场外费用(司调)'!G249</f>
        <v>32</v>
      </c>
      <c r="E227" s="689">
        <f t="shared" si="17"/>
        <v>4.5007032348804499</v>
      </c>
      <c r="F227" s="689">
        <f t="shared" si="15"/>
        <v>4.5007032348804499</v>
      </c>
      <c r="G227" s="689">
        <f t="shared" si="16"/>
        <v>32</v>
      </c>
      <c r="H227" s="606"/>
      <c r="I227" s="606"/>
      <c r="J227" s="606"/>
      <c r="K227" s="697"/>
      <c r="L227" s="606"/>
      <c r="M227" s="606"/>
      <c r="N227" s="606"/>
      <c r="O227" s="606"/>
      <c r="P227" s="715"/>
      <c r="Q227" s="715"/>
      <c r="R227" s="698"/>
      <c r="S227" s="698"/>
      <c r="T227" s="709"/>
    </row>
    <row r="228" spans="1:20" hidden="1">
      <c r="A228" s="721"/>
      <c r="B228" s="721" t="s">
        <v>733</v>
      </c>
      <c r="C228" s="722"/>
      <c r="D228" s="688">
        <f>'[2]总投资-发采购-0411-GLP拆分场外费用(司调)'!G250</f>
        <v>35</v>
      </c>
      <c r="E228" s="689">
        <f t="shared" si="17"/>
        <v>4.9226441631504922</v>
      </c>
      <c r="F228" s="689">
        <f t="shared" si="15"/>
        <v>4.9226441631504922</v>
      </c>
      <c r="G228" s="689">
        <f t="shared" si="16"/>
        <v>35</v>
      </c>
      <c r="H228" s="606"/>
      <c r="I228" s="606"/>
      <c r="J228" s="606"/>
      <c r="K228" s="697"/>
      <c r="L228" s="606"/>
      <c r="M228" s="606"/>
      <c r="N228" s="606"/>
      <c r="O228" s="606"/>
      <c r="P228" s="715"/>
      <c r="Q228" s="715"/>
      <c r="R228" s="698"/>
      <c r="S228" s="698"/>
      <c r="T228" s="709"/>
    </row>
    <row r="229" spans="1:20" hidden="1">
      <c r="A229" s="717">
        <v>3.1</v>
      </c>
      <c r="B229" s="717" t="s">
        <v>734</v>
      </c>
      <c r="C229" s="718"/>
      <c r="D229" s="719">
        <f>'[2]总投资-发采购-0411-GLP拆分场外费用(司调)'!G223</f>
        <v>19952.8472401367</v>
      </c>
      <c r="E229" s="720">
        <f t="shared" si="17"/>
        <v>2806.3076287112094</v>
      </c>
      <c r="F229" s="720">
        <f t="shared" si="15"/>
        <v>2806.3076287112094</v>
      </c>
      <c r="G229" s="720">
        <f t="shared" si="16"/>
        <v>19952.8472401367</v>
      </c>
      <c r="H229" s="606"/>
      <c r="I229" s="606"/>
      <c r="J229" s="606"/>
      <c r="K229" s="697"/>
      <c r="L229" s="606"/>
      <c r="M229" s="606"/>
      <c r="N229" s="606"/>
      <c r="O229" s="606"/>
      <c r="P229" s="715"/>
      <c r="Q229" s="715"/>
      <c r="R229" s="698"/>
      <c r="S229" s="698"/>
      <c r="T229" s="709"/>
    </row>
    <row r="230" spans="1:20" hidden="1">
      <c r="A230" s="721" t="s">
        <v>356</v>
      </c>
      <c r="B230" s="721" t="s">
        <v>677</v>
      </c>
      <c r="C230" s="722"/>
      <c r="D230" s="688">
        <f>'[2]总投资-发采购-0411-GLP拆分场外费用(司调)'!G224</f>
        <v>14787.06</v>
      </c>
      <c r="E230" s="689">
        <f t="shared" si="17"/>
        <v>2079.7552742616031</v>
      </c>
      <c r="F230" s="689">
        <f t="shared" si="15"/>
        <v>2079.7552742616031</v>
      </c>
      <c r="G230" s="689">
        <f t="shared" si="16"/>
        <v>14787.06</v>
      </c>
      <c r="H230" s="606"/>
      <c r="I230" s="606"/>
      <c r="J230" s="606"/>
      <c r="K230" s="697"/>
      <c r="L230" s="606"/>
      <c r="M230" s="606"/>
      <c r="N230" s="606"/>
      <c r="O230" s="606"/>
      <c r="P230" s="715"/>
      <c r="Q230" s="715"/>
      <c r="R230" s="698"/>
      <c r="S230" s="698"/>
      <c r="T230" s="709"/>
    </row>
    <row r="231" spans="1:20" hidden="1">
      <c r="A231" s="721" t="s">
        <v>357</v>
      </c>
      <c r="B231" s="721" t="s">
        <v>678</v>
      </c>
      <c r="C231" s="722"/>
      <c r="D231" s="688">
        <f>'[2]总投资-发采购-0411-GLP拆分场外费用(司调)'!G225</f>
        <v>98.580399999999997</v>
      </c>
      <c r="E231" s="689">
        <f t="shared" si="17"/>
        <v>13.865035161744022</v>
      </c>
      <c r="F231" s="689">
        <f t="shared" si="15"/>
        <v>13.865035161744022</v>
      </c>
      <c r="G231" s="689">
        <f t="shared" si="16"/>
        <v>98.580399999999997</v>
      </c>
      <c r="H231" s="606"/>
      <c r="I231" s="606"/>
      <c r="J231" s="606"/>
      <c r="K231" s="697"/>
      <c r="L231" s="606"/>
      <c r="M231" s="606"/>
      <c r="N231" s="606"/>
      <c r="O231" s="606"/>
      <c r="P231" s="715"/>
      <c r="Q231" s="715"/>
      <c r="R231" s="698"/>
      <c r="S231" s="698"/>
      <c r="T231" s="709"/>
    </row>
    <row r="232" spans="1:20" hidden="1">
      <c r="A232" s="721" t="s">
        <v>358</v>
      </c>
      <c r="B232" s="721" t="s">
        <v>679</v>
      </c>
      <c r="C232" s="722"/>
      <c r="D232" s="688">
        <f>'[2]总投资-发采购-0411-GLP拆分场外费用(司调)'!G226</f>
        <v>571.76631999999995</v>
      </c>
      <c r="E232" s="689">
        <f t="shared" si="17"/>
        <v>80.417203938115321</v>
      </c>
      <c r="F232" s="689">
        <f t="shared" si="15"/>
        <v>80.417203938115321</v>
      </c>
      <c r="G232" s="689">
        <f t="shared" si="16"/>
        <v>571.76631999999995</v>
      </c>
      <c r="H232" s="606"/>
      <c r="I232" s="606"/>
      <c r="J232" s="606"/>
      <c r="K232" s="697"/>
      <c r="L232" s="606"/>
      <c r="M232" s="606"/>
      <c r="N232" s="606"/>
      <c r="O232" s="606"/>
      <c r="P232" s="715"/>
      <c r="Q232" s="715"/>
      <c r="R232" s="698"/>
      <c r="S232" s="698"/>
      <c r="T232" s="709"/>
    </row>
    <row r="233" spans="1:20" hidden="1">
      <c r="A233" s="721" t="s">
        <v>359</v>
      </c>
      <c r="B233" s="721" t="s">
        <v>680</v>
      </c>
      <c r="C233" s="722"/>
      <c r="D233" s="688">
        <f>'[2]总投资-发采购-0411-GLP拆分场外费用(司调)'!G227</f>
        <v>453.46983999999998</v>
      </c>
      <c r="E233" s="689">
        <f t="shared" si="17"/>
        <v>63.779161744022495</v>
      </c>
      <c r="F233" s="689">
        <f t="shared" si="15"/>
        <v>63.779161744022495</v>
      </c>
      <c r="G233" s="689">
        <f t="shared" si="16"/>
        <v>453.46983999999998</v>
      </c>
      <c r="H233" s="606"/>
      <c r="I233" s="606"/>
      <c r="J233" s="606"/>
      <c r="K233" s="697"/>
      <c r="L233" s="606"/>
      <c r="M233" s="606"/>
      <c r="N233" s="606"/>
      <c r="O233" s="606"/>
      <c r="P233" s="715"/>
      <c r="Q233" s="715"/>
      <c r="R233" s="698"/>
      <c r="S233" s="698"/>
      <c r="T233" s="709"/>
    </row>
    <row r="234" spans="1:20" hidden="1">
      <c r="A234" s="721" t="s">
        <v>360</v>
      </c>
      <c r="B234" s="721" t="s">
        <v>681</v>
      </c>
      <c r="C234" s="722"/>
      <c r="D234" s="688">
        <f>'[2]总投资-发采购-0411-GLP拆分场外费用(司调)'!G228</f>
        <v>552.05024000000003</v>
      </c>
      <c r="E234" s="689">
        <f t="shared" si="17"/>
        <v>77.64419690576652</v>
      </c>
      <c r="F234" s="689">
        <f t="shared" si="15"/>
        <v>77.64419690576652</v>
      </c>
      <c r="G234" s="689">
        <f t="shared" si="16"/>
        <v>552.05024000000003</v>
      </c>
      <c r="H234" s="715"/>
      <c r="I234" s="715"/>
      <c r="J234" s="715"/>
      <c r="K234" s="697"/>
      <c r="L234" s="715"/>
      <c r="M234" s="715"/>
      <c r="N234" s="715"/>
      <c r="O234" s="715"/>
      <c r="P234" s="715"/>
      <c r="Q234" s="715"/>
      <c r="R234" s="698"/>
      <c r="S234" s="742"/>
      <c r="T234" s="709"/>
    </row>
    <row r="235" spans="1:20" hidden="1">
      <c r="A235" s="721" t="s">
        <v>361</v>
      </c>
      <c r="B235" s="721" t="s">
        <v>682</v>
      </c>
      <c r="C235" s="722"/>
      <c r="D235" s="688">
        <f>'[2]总投资-发采购-0411-GLP拆分场外费用(司调)'!G229</f>
        <v>157.72864000000001</v>
      </c>
      <c r="E235" s="689">
        <f t="shared" si="17"/>
        <v>22.184056258790438</v>
      </c>
      <c r="F235" s="689">
        <f t="shared" si="15"/>
        <v>22.184056258790438</v>
      </c>
      <c r="G235" s="689">
        <f t="shared" si="16"/>
        <v>157.72864000000001</v>
      </c>
      <c r="H235" s="606"/>
      <c r="I235" s="606"/>
      <c r="J235" s="606"/>
      <c r="K235" s="697"/>
      <c r="L235" s="606"/>
      <c r="M235" s="606"/>
      <c r="N235" s="606"/>
      <c r="O235" s="606"/>
      <c r="P235" s="715"/>
      <c r="Q235" s="715"/>
      <c r="R235" s="698"/>
      <c r="S235" s="698"/>
      <c r="T235" s="709"/>
    </row>
    <row r="236" spans="1:20" hidden="1">
      <c r="A236" s="721" t="s">
        <v>362</v>
      </c>
      <c r="B236" s="721" t="s">
        <v>683</v>
      </c>
      <c r="C236" s="722"/>
      <c r="D236" s="688">
        <f>'[2]总投资-发采购-0411-GLP拆分场外费用(司调)'!G230</f>
        <v>788.64319999999998</v>
      </c>
      <c r="E236" s="689">
        <f t="shared" si="17"/>
        <v>110.92028129395217</v>
      </c>
      <c r="F236" s="689">
        <f t="shared" si="15"/>
        <v>110.92028129395217</v>
      </c>
      <c r="G236" s="689">
        <f t="shared" si="16"/>
        <v>788.64319999999998</v>
      </c>
      <c r="H236" s="606"/>
      <c r="I236" s="606"/>
      <c r="J236" s="606"/>
      <c r="K236" s="697"/>
      <c r="L236" s="606"/>
      <c r="M236" s="606"/>
      <c r="N236" s="606"/>
      <c r="O236" s="606"/>
      <c r="P236" s="715"/>
      <c r="Q236" s="715"/>
      <c r="R236" s="698"/>
      <c r="S236" s="698"/>
      <c r="T236" s="709"/>
    </row>
    <row r="237" spans="1:20" hidden="1">
      <c r="A237" s="721"/>
      <c r="B237" s="721" t="s">
        <v>684</v>
      </c>
      <c r="C237" s="722"/>
      <c r="D237" s="688">
        <f>'[2]总投资-发采购-0411-GLP拆分场外费用(司调)'!G231</f>
        <v>2458.5486001366498</v>
      </c>
      <c r="E237" s="689">
        <f t="shared" si="17"/>
        <v>345.78742617955692</v>
      </c>
      <c r="F237" s="689">
        <f t="shared" si="15"/>
        <v>345.78742617955692</v>
      </c>
      <c r="G237" s="689">
        <f t="shared" si="16"/>
        <v>2458.5486001366498</v>
      </c>
      <c r="H237" s="606"/>
      <c r="I237" s="606"/>
      <c r="J237" s="606"/>
      <c r="K237" s="697"/>
      <c r="L237" s="606"/>
      <c r="M237" s="606"/>
      <c r="N237" s="606"/>
      <c r="O237" s="606"/>
      <c r="P237" s="715"/>
      <c r="Q237" s="715"/>
      <c r="R237" s="698"/>
      <c r="S237" s="698"/>
      <c r="T237" s="709"/>
    </row>
    <row r="238" spans="1:20" hidden="1">
      <c r="A238" s="721" t="s">
        <v>363</v>
      </c>
      <c r="B238" s="721" t="s">
        <v>685</v>
      </c>
      <c r="C238" s="722"/>
      <c r="D238" s="688">
        <f>'[2]总投资-发采购-0411-GLP拆分场外费用(司调)'!G232</f>
        <v>85</v>
      </c>
      <c r="E238" s="689">
        <f t="shared" si="17"/>
        <v>11.954992967651195</v>
      </c>
      <c r="F238" s="689">
        <f t="shared" si="15"/>
        <v>11.954992967651195</v>
      </c>
      <c r="G238" s="689">
        <f t="shared" si="16"/>
        <v>85</v>
      </c>
      <c r="H238" s="606"/>
      <c r="I238" s="606"/>
      <c r="J238" s="606"/>
      <c r="K238" s="697"/>
      <c r="L238" s="606"/>
      <c r="M238" s="606"/>
      <c r="N238" s="606"/>
      <c r="O238" s="606"/>
      <c r="P238" s="715"/>
      <c r="Q238" s="715"/>
      <c r="R238" s="698"/>
      <c r="S238" s="698"/>
      <c r="T238" s="709"/>
    </row>
    <row r="239" spans="1:20" hidden="1">
      <c r="A239" s="721"/>
      <c r="B239" s="721" t="s">
        <v>686</v>
      </c>
      <c r="C239" s="722"/>
      <c r="D239" s="688">
        <f>'[2]总投资-发采购-0411-GLP拆分场外费用(司调)'!G233</f>
        <v>4</v>
      </c>
      <c r="E239" s="689">
        <f t="shared" si="17"/>
        <v>0.56258790436005623</v>
      </c>
      <c r="F239" s="689">
        <f t="shared" si="15"/>
        <v>0.56258790436005623</v>
      </c>
      <c r="G239" s="689">
        <f t="shared" si="16"/>
        <v>4</v>
      </c>
      <c r="H239" s="606"/>
      <c r="I239" s="606"/>
      <c r="J239" s="606"/>
      <c r="K239" s="697"/>
      <c r="L239" s="606"/>
      <c r="M239" s="606"/>
      <c r="N239" s="606"/>
      <c r="O239" s="606"/>
      <c r="P239" s="715"/>
      <c r="Q239" s="715"/>
      <c r="R239" s="698"/>
      <c r="S239" s="698"/>
      <c r="T239" s="709"/>
    </row>
    <row r="240" spans="1:20" hidden="1">
      <c r="A240" s="721"/>
      <c r="B240" s="721" t="s">
        <v>687</v>
      </c>
      <c r="C240" s="722"/>
      <c r="D240" s="688">
        <f>'[2]总投资-发采购-0411-GLP拆分场外费用(司调)'!G234</f>
        <v>15</v>
      </c>
      <c r="E240" s="689">
        <f t="shared" si="17"/>
        <v>2.109704641350211</v>
      </c>
      <c r="F240" s="689">
        <f t="shared" si="15"/>
        <v>2.109704641350211</v>
      </c>
      <c r="G240" s="689">
        <f t="shared" si="16"/>
        <v>15</v>
      </c>
      <c r="H240" s="606"/>
      <c r="I240" s="606"/>
      <c r="J240" s="606"/>
      <c r="K240" s="697"/>
      <c r="L240" s="606"/>
      <c r="M240" s="606"/>
      <c r="N240" s="606"/>
      <c r="O240" s="606"/>
      <c r="P240" s="715"/>
      <c r="Q240" s="715"/>
      <c r="R240" s="698"/>
      <c r="S240" s="698"/>
      <c r="T240" s="709"/>
    </row>
    <row r="241" spans="1:20" hidden="1">
      <c r="A241" s="721"/>
      <c r="B241" s="721" t="s">
        <v>688</v>
      </c>
      <c r="C241" s="722"/>
      <c r="D241" s="688">
        <f>'[2]总投资-发采购-0411-GLP拆分场外费用(司调)'!G235</f>
        <v>66</v>
      </c>
      <c r="E241" s="689">
        <f t="shared" si="17"/>
        <v>9.2827004219409286</v>
      </c>
      <c r="F241" s="689">
        <f t="shared" si="15"/>
        <v>9.2827004219409286</v>
      </c>
      <c r="G241" s="689">
        <f t="shared" si="16"/>
        <v>66</v>
      </c>
      <c r="H241" s="606"/>
      <c r="I241" s="606"/>
      <c r="J241" s="606"/>
      <c r="K241" s="697"/>
      <c r="L241" s="606"/>
      <c r="M241" s="606"/>
      <c r="N241" s="606"/>
      <c r="O241" s="606"/>
      <c r="P241" s="715"/>
      <c r="Q241" s="715"/>
      <c r="R241" s="698"/>
      <c r="S241" s="698"/>
      <c r="T241" s="709"/>
    </row>
    <row r="242" spans="1:20">
      <c r="A242" s="1075" t="s">
        <v>104</v>
      </c>
      <c r="B242" s="1076"/>
      <c r="C242" s="1077"/>
      <c r="D242" s="713">
        <f>SUM(D213)</f>
        <v>28051.084587734578</v>
      </c>
      <c r="E242" s="713">
        <f t="shared" ref="E242:G242" si="18">SUM(E213)</f>
        <v>3945.3002233100669</v>
      </c>
      <c r="F242" s="713">
        <f t="shared" si="18"/>
        <v>3945.3002233100669</v>
      </c>
      <c r="G242" s="713">
        <f t="shared" si="18"/>
        <v>28051.084587734578</v>
      </c>
      <c r="H242" s="606"/>
      <c r="I242" s="606"/>
      <c r="J242" s="606"/>
      <c r="K242" s="606"/>
      <c r="L242" s="606"/>
      <c r="M242" s="606"/>
      <c r="N242" s="606"/>
      <c r="O242" s="606"/>
      <c r="P242" s="606"/>
      <c r="Q242" s="606"/>
      <c r="R242" s="738"/>
      <c r="S242" s="606"/>
      <c r="T242" s="606"/>
    </row>
    <row r="243" spans="1:20">
      <c r="A243" s="678" t="s">
        <v>56</v>
      </c>
      <c r="B243" s="723" t="s">
        <v>57</v>
      </c>
      <c r="C243" s="723"/>
      <c r="D243" s="724"/>
      <c r="E243" s="725"/>
      <c r="F243" s="724"/>
      <c r="G243" s="724"/>
      <c r="H243" s="726"/>
      <c r="I243" s="726"/>
      <c r="J243" s="726"/>
      <c r="K243" s="726"/>
      <c r="L243" s="726"/>
      <c r="M243" s="726"/>
      <c r="N243" s="726"/>
      <c r="O243" s="726"/>
      <c r="P243" s="726"/>
      <c r="Q243" s="726"/>
      <c r="R243" s="743"/>
      <c r="S243" s="744"/>
      <c r="T243" s="706"/>
    </row>
    <row r="244" spans="1:20" ht="66">
      <c r="A244" s="749" t="s">
        <v>366</v>
      </c>
      <c r="B244" s="790" t="s">
        <v>793</v>
      </c>
      <c r="C244" s="790" t="s">
        <v>643</v>
      </c>
      <c r="D244" s="791">
        <f>SUM('[2]总投资-发采购-0411-GLP拆分场外费用(司调)'!G303,'[2]总投资-发采购-0411-GLP拆分场外费用(司调)'!G307,'[2]总投资-发采购-0411-GLP拆分场外费用(司调)'!G311,'[2]总投资-发采购-0411-GLP拆分场外费用(司调)'!G313,'[2]总投资-发采购-0411-GLP拆分场外费用(司调)'!G315,'[2]总投资-发采购-0411-GLP拆分场外费用(司调)'!G317)</f>
        <v>20312.849999999999</v>
      </c>
      <c r="E244" s="792">
        <f>D244/$A$3</f>
        <v>2856.9409282700417</v>
      </c>
      <c r="F244" s="792">
        <f t="shared" ref="F244:F308" si="19">E244</f>
        <v>2856.9409282700417</v>
      </c>
      <c r="G244" s="792">
        <f>D244</f>
        <v>20312.849999999999</v>
      </c>
      <c r="H244" s="749" t="s">
        <v>543</v>
      </c>
      <c r="I244" s="749" t="s">
        <v>30</v>
      </c>
      <c r="J244" s="749">
        <v>12</v>
      </c>
      <c r="K244" s="754" t="s">
        <v>31</v>
      </c>
      <c r="L244" s="749" t="s">
        <v>135</v>
      </c>
      <c r="M244" s="749" t="s">
        <v>794</v>
      </c>
      <c r="N244" s="749"/>
      <c r="O244" s="749"/>
      <c r="P244" s="755" t="s">
        <v>737</v>
      </c>
      <c r="Q244" s="755" t="s">
        <v>738</v>
      </c>
      <c r="R244" s="755" t="s">
        <v>739</v>
      </c>
      <c r="S244" s="755" t="s">
        <v>740</v>
      </c>
      <c r="T244" s="754" t="s">
        <v>646</v>
      </c>
    </row>
    <row r="245" spans="1:20" hidden="1">
      <c r="A245" s="793">
        <v>6</v>
      </c>
      <c r="B245" s="746" t="s">
        <v>370</v>
      </c>
      <c r="C245" s="794"/>
      <c r="D245" s="795">
        <f>'[2]总投资-发采购-0411-GLP拆分场外费用(司调)'!G303</f>
        <v>2688.05</v>
      </c>
      <c r="E245" s="748">
        <f>D245/$A$3</f>
        <v>378.06610407876229</v>
      </c>
      <c r="F245" s="748">
        <f>D245/$A$3</f>
        <v>378.06610407876229</v>
      </c>
      <c r="G245" s="748">
        <f>D245</f>
        <v>2688.05</v>
      </c>
      <c r="H245" s="796"/>
      <c r="I245" s="796"/>
      <c r="J245" s="796"/>
      <c r="K245" s="754" t="s">
        <v>224</v>
      </c>
      <c r="L245" s="796"/>
      <c r="M245" s="749" t="s">
        <v>794</v>
      </c>
      <c r="N245" s="796"/>
      <c r="O245" s="796"/>
      <c r="P245" s="798"/>
      <c r="Q245" s="755"/>
      <c r="R245" s="755"/>
      <c r="S245" s="755"/>
      <c r="T245" s="754"/>
    </row>
    <row r="246" spans="1:20" hidden="1">
      <c r="A246" s="745" t="s">
        <v>371</v>
      </c>
      <c r="B246" s="746" t="s">
        <v>742</v>
      </c>
      <c r="C246" s="746"/>
      <c r="D246" s="795">
        <f>'[2]总投资-发采购-0411-GLP拆分场外费用(司调)'!G304</f>
        <v>399.45</v>
      </c>
      <c r="E246" s="748">
        <f t="shared" ref="E246:E264" si="20">D246/$A$3</f>
        <v>56.181434599156113</v>
      </c>
      <c r="F246" s="748">
        <f t="shared" ref="F246:F261" si="21">D246/$A$3</f>
        <v>56.181434599156113</v>
      </c>
      <c r="G246" s="748">
        <f t="shared" ref="G246:G262" si="22">D246</f>
        <v>399.45</v>
      </c>
      <c r="H246" s="796"/>
      <c r="I246" s="796"/>
      <c r="J246" s="796"/>
      <c r="K246" s="754" t="s">
        <v>224</v>
      </c>
      <c r="L246" s="796"/>
      <c r="M246" s="749" t="s">
        <v>794</v>
      </c>
      <c r="N246" s="796"/>
      <c r="O246" s="796"/>
      <c r="P246" s="798"/>
      <c r="Q246" s="755"/>
      <c r="R246" s="755"/>
      <c r="S246" s="755"/>
      <c r="T246" s="754"/>
    </row>
    <row r="247" spans="1:20" hidden="1">
      <c r="A247" s="745" t="s">
        <v>373</v>
      </c>
      <c r="B247" s="746" t="s">
        <v>743</v>
      </c>
      <c r="C247" s="746"/>
      <c r="D247" s="795">
        <f>'[2]总投资-发采购-0411-GLP拆分场外费用(司调)'!G305</f>
        <v>2145.6</v>
      </c>
      <c r="E247" s="748">
        <f t="shared" si="20"/>
        <v>301.77215189873414</v>
      </c>
      <c r="F247" s="748">
        <f t="shared" si="21"/>
        <v>301.77215189873414</v>
      </c>
      <c r="G247" s="748">
        <f t="shared" si="22"/>
        <v>2145.6</v>
      </c>
      <c r="H247" s="796"/>
      <c r="I247" s="796"/>
      <c r="J247" s="796"/>
      <c r="K247" s="754" t="s">
        <v>224</v>
      </c>
      <c r="L247" s="796"/>
      <c r="M247" s="749" t="s">
        <v>794</v>
      </c>
      <c r="N247" s="796"/>
      <c r="O247" s="796"/>
      <c r="P247" s="798"/>
      <c r="Q247" s="755"/>
      <c r="R247" s="755"/>
      <c r="S247" s="755"/>
      <c r="T247" s="754"/>
    </row>
    <row r="248" spans="1:20" hidden="1">
      <c r="A248" s="745" t="s">
        <v>375</v>
      </c>
      <c r="B248" s="746" t="s">
        <v>744</v>
      </c>
      <c r="C248" s="746"/>
      <c r="D248" s="795">
        <f>'[2]总投资-发采购-0411-GLP拆分场外费用(司调)'!G306</f>
        <v>143</v>
      </c>
      <c r="E248" s="748">
        <f t="shared" si="20"/>
        <v>20.112517580872009</v>
      </c>
      <c r="F248" s="748">
        <f t="shared" si="21"/>
        <v>20.112517580872009</v>
      </c>
      <c r="G248" s="748">
        <f t="shared" si="22"/>
        <v>143</v>
      </c>
      <c r="H248" s="796"/>
      <c r="I248" s="796"/>
      <c r="J248" s="796"/>
      <c r="K248" s="754" t="s">
        <v>224</v>
      </c>
      <c r="L248" s="796"/>
      <c r="M248" s="749" t="s">
        <v>794</v>
      </c>
      <c r="N248" s="796"/>
      <c r="O248" s="796"/>
      <c r="P248" s="798"/>
      <c r="Q248" s="755"/>
      <c r="R248" s="755"/>
      <c r="S248" s="755"/>
      <c r="T248" s="754"/>
    </row>
    <row r="249" spans="1:20" hidden="1">
      <c r="A249" s="745" t="s">
        <v>377</v>
      </c>
      <c r="B249" s="746" t="s">
        <v>745</v>
      </c>
      <c r="C249" s="746"/>
      <c r="D249" s="795">
        <f>'[2]总投资-发采购-0411-GLP拆分场外费用(司调)'!G307</f>
        <v>6521.05</v>
      </c>
      <c r="E249" s="748">
        <f t="shared" si="20"/>
        <v>917.16596343178617</v>
      </c>
      <c r="F249" s="748">
        <f t="shared" si="21"/>
        <v>917.16596343178617</v>
      </c>
      <c r="G249" s="748">
        <f t="shared" si="22"/>
        <v>6521.05</v>
      </c>
      <c r="H249" s="796"/>
      <c r="I249" s="796"/>
      <c r="J249" s="796"/>
      <c r="K249" s="754" t="s">
        <v>224</v>
      </c>
      <c r="L249" s="796"/>
      <c r="M249" s="749" t="s">
        <v>794</v>
      </c>
      <c r="N249" s="796"/>
      <c r="O249" s="796"/>
      <c r="P249" s="798"/>
      <c r="Q249" s="755"/>
      <c r="R249" s="755"/>
      <c r="S249" s="755"/>
      <c r="T249" s="754"/>
    </row>
    <row r="250" spans="1:20" hidden="1">
      <c r="A250" s="745">
        <v>6.2</v>
      </c>
      <c r="B250" s="746" t="s">
        <v>746</v>
      </c>
      <c r="C250" s="746"/>
      <c r="D250" s="795">
        <f>'[2]总投资-发采购-0411-GLP拆分场外费用(司调)'!G307</f>
        <v>6521.05</v>
      </c>
      <c r="E250" s="748">
        <f t="shared" si="20"/>
        <v>917.16596343178617</v>
      </c>
      <c r="F250" s="748">
        <f t="shared" si="21"/>
        <v>917.16596343178617</v>
      </c>
      <c r="G250" s="748">
        <f t="shared" si="22"/>
        <v>6521.05</v>
      </c>
      <c r="H250" s="796"/>
      <c r="I250" s="796"/>
      <c r="J250" s="796"/>
      <c r="K250" s="754" t="s">
        <v>224</v>
      </c>
      <c r="L250" s="796"/>
      <c r="M250" s="749" t="s">
        <v>794</v>
      </c>
      <c r="N250" s="796"/>
      <c r="O250" s="796"/>
      <c r="P250" s="798"/>
      <c r="Q250" s="755"/>
      <c r="R250" s="755"/>
      <c r="S250" s="755"/>
      <c r="T250" s="754"/>
    </row>
    <row r="251" spans="1:20" hidden="1">
      <c r="A251" s="745" t="s">
        <v>380</v>
      </c>
      <c r="B251" s="746" t="s">
        <v>743</v>
      </c>
      <c r="C251" s="746"/>
      <c r="D251" s="795">
        <f>'[2]总投资-发采购-0411-GLP拆分场外费用(司调)'!G308</f>
        <v>356.25</v>
      </c>
      <c r="E251" s="748">
        <f t="shared" si="20"/>
        <v>50.105485232067508</v>
      </c>
      <c r="F251" s="748">
        <f t="shared" si="21"/>
        <v>50.105485232067508</v>
      </c>
      <c r="G251" s="748">
        <f t="shared" si="22"/>
        <v>356.25</v>
      </c>
      <c r="H251" s="796"/>
      <c r="I251" s="796"/>
      <c r="J251" s="796"/>
      <c r="K251" s="754" t="s">
        <v>224</v>
      </c>
      <c r="L251" s="796"/>
      <c r="M251" s="749" t="s">
        <v>794</v>
      </c>
      <c r="N251" s="796"/>
      <c r="O251" s="796"/>
      <c r="P251" s="798"/>
      <c r="Q251" s="755"/>
      <c r="R251" s="755"/>
      <c r="S251" s="755"/>
      <c r="T251" s="754"/>
    </row>
    <row r="252" spans="1:20" hidden="1">
      <c r="A252" s="745" t="s">
        <v>381</v>
      </c>
      <c r="B252" s="746" t="s">
        <v>744</v>
      </c>
      <c r="C252" s="746"/>
      <c r="D252" s="795">
        <f>'[2]总投资-发采购-0411-GLP拆分场外费用(司调)'!G309</f>
        <v>5956.8</v>
      </c>
      <c r="E252" s="748">
        <f t="shared" si="20"/>
        <v>837.80590717299572</v>
      </c>
      <c r="F252" s="748">
        <f t="shared" si="21"/>
        <v>837.80590717299572</v>
      </c>
      <c r="G252" s="748">
        <f t="shared" si="22"/>
        <v>5956.8</v>
      </c>
      <c r="H252" s="796"/>
      <c r="I252" s="796"/>
      <c r="J252" s="796"/>
      <c r="K252" s="754" t="s">
        <v>224</v>
      </c>
      <c r="L252" s="796"/>
      <c r="M252" s="749" t="s">
        <v>794</v>
      </c>
      <c r="N252" s="796"/>
      <c r="O252" s="796"/>
      <c r="P252" s="798"/>
      <c r="Q252" s="755"/>
      <c r="R252" s="755"/>
      <c r="S252" s="755"/>
      <c r="T252" s="754"/>
    </row>
    <row r="253" spans="1:20" hidden="1">
      <c r="A253" s="745" t="s">
        <v>382</v>
      </c>
      <c r="B253" s="746" t="s">
        <v>745</v>
      </c>
      <c r="C253" s="746"/>
      <c r="D253" s="795">
        <f>'[2]总投资-发采购-0411-GLP拆分场外费用(司调)'!G310</f>
        <v>208</v>
      </c>
      <c r="E253" s="748">
        <f t="shared" si="20"/>
        <v>29.254571026722925</v>
      </c>
      <c r="F253" s="748">
        <f t="shared" si="21"/>
        <v>29.254571026722925</v>
      </c>
      <c r="G253" s="748">
        <f t="shared" si="22"/>
        <v>208</v>
      </c>
      <c r="H253" s="796"/>
      <c r="I253" s="796"/>
      <c r="J253" s="796"/>
      <c r="K253" s="754" t="s">
        <v>224</v>
      </c>
      <c r="L253" s="796"/>
      <c r="M253" s="749" t="s">
        <v>794</v>
      </c>
      <c r="N253" s="796"/>
      <c r="O253" s="796"/>
      <c r="P253" s="798"/>
      <c r="Q253" s="755"/>
      <c r="R253" s="755"/>
      <c r="S253" s="755"/>
      <c r="T253" s="754"/>
    </row>
    <row r="254" spans="1:20" hidden="1">
      <c r="A254" s="745" t="s">
        <v>383</v>
      </c>
      <c r="B254" s="746" t="s">
        <v>747</v>
      </c>
      <c r="C254" s="746"/>
      <c r="D254" s="795">
        <f>'[2]总投资-发采购-0411-GLP拆分场外费用(司调)'!G311</f>
        <v>1959.93</v>
      </c>
      <c r="E254" s="748">
        <f t="shared" si="20"/>
        <v>275.65822784810126</v>
      </c>
      <c r="F254" s="748">
        <f t="shared" si="21"/>
        <v>275.65822784810126</v>
      </c>
      <c r="G254" s="748">
        <f t="shared" si="22"/>
        <v>1959.93</v>
      </c>
      <c r="H254" s="796"/>
      <c r="I254" s="796"/>
      <c r="J254" s="796"/>
      <c r="K254" s="754" t="s">
        <v>224</v>
      </c>
      <c r="L254" s="796"/>
      <c r="M254" s="749" t="s">
        <v>794</v>
      </c>
      <c r="N254" s="796"/>
      <c r="O254" s="796"/>
      <c r="P254" s="798"/>
      <c r="Q254" s="755"/>
      <c r="R254" s="755"/>
      <c r="S254" s="755"/>
      <c r="T254" s="754"/>
    </row>
    <row r="255" spans="1:20" hidden="1">
      <c r="A255" s="745" t="s">
        <v>385</v>
      </c>
      <c r="B255" s="746" t="s">
        <v>743</v>
      </c>
      <c r="C255" s="746"/>
      <c r="D255" s="795">
        <f>'[2]总投资-发采购-0411-GLP拆分场外费用(司调)'!G312</f>
        <v>1959.93</v>
      </c>
      <c r="E255" s="748">
        <f t="shared" si="20"/>
        <v>275.65822784810126</v>
      </c>
      <c r="F255" s="748">
        <f t="shared" si="21"/>
        <v>275.65822784810126</v>
      </c>
      <c r="G255" s="748">
        <f t="shared" si="22"/>
        <v>1959.93</v>
      </c>
      <c r="H255" s="796"/>
      <c r="I255" s="796"/>
      <c r="J255" s="796"/>
      <c r="K255" s="754" t="s">
        <v>224</v>
      </c>
      <c r="L255" s="796"/>
      <c r="M255" s="749" t="s">
        <v>794</v>
      </c>
      <c r="N255" s="796"/>
      <c r="O255" s="796"/>
      <c r="P255" s="798"/>
      <c r="Q255" s="755"/>
      <c r="R255" s="755"/>
      <c r="S255" s="755"/>
      <c r="T255" s="754"/>
    </row>
    <row r="256" spans="1:20" hidden="1">
      <c r="A256" s="745">
        <v>6.4</v>
      </c>
      <c r="B256" s="746" t="s">
        <v>748</v>
      </c>
      <c r="C256" s="746"/>
      <c r="D256" s="795">
        <f>'[2]总投资-发采购-0411-GLP拆分场外费用(司调)'!G313</f>
        <v>3742.2</v>
      </c>
      <c r="E256" s="748">
        <f t="shared" si="20"/>
        <v>526.3291139240506</v>
      </c>
      <c r="F256" s="748">
        <f t="shared" si="21"/>
        <v>526.3291139240506</v>
      </c>
      <c r="G256" s="748">
        <f t="shared" si="22"/>
        <v>3742.2</v>
      </c>
      <c r="H256" s="796"/>
      <c r="I256" s="796"/>
      <c r="J256" s="796"/>
      <c r="K256" s="754" t="s">
        <v>224</v>
      </c>
      <c r="L256" s="796"/>
      <c r="M256" s="749" t="s">
        <v>794</v>
      </c>
      <c r="N256" s="796"/>
      <c r="O256" s="796"/>
      <c r="P256" s="798"/>
      <c r="Q256" s="755"/>
      <c r="R256" s="755"/>
      <c r="S256" s="755"/>
      <c r="T256" s="754"/>
    </row>
    <row r="257" spans="1:20" hidden="1">
      <c r="A257" s="745" t="s">
        <v>387</v>
      </c>
      <c r="B257" s="746" t="s">
        <v>743</v>
      </c>
      <c r="C257" s="746"/>
      <c r="D257" s="795">
        <f>'[2]总投资-发采购-0411-GLP拆分场外费用(司调)'!G314</f>
        <v>3742.2</v>
      </c>
      <c r="E257" s="748">
        <f t="shared" si="20"/>
        <v>526.3291139240506</v>
      </c>
      <c r="F257" s="748">
        <f t="shared" si="21"/>
        <v>526.3291139240506</v>
      </c>
      <c r="G257" s="748">
        <f t="shared" si="22"/>
        <v>3742.2</v>
      </c>
      <c r="H257" s="796"/>
      <c r="I257" s="796"/>
      <c r="J257" s="796"/>
      <c r="K257" s="754" t="s">
        <v>224</v>
      </c>
      <c r="L257" s="796"/>
      <c r="M257" s="749" t="s">
        <v>794</v>
      </c>
      <c r="N257" s="796"/>
      <c r="O257" s="796"/>
      <c r="P257" s="798"/>
      <c r="Q257" s="755"/>
      <c r="R257" s="755"/>
      <c r="S257" s="755"/>
      <c r="T257" s="754"/>
    </row>
    <row r="258" spans="1:20" hidden="1">
      <c r="A258" s="745">
        <v>6.5</v>
      </c>
      <c r="B258" s="746" t="s">
        <v>749</v>
      </c>
      <c r="C258" s="746"/>
      <c r="D258" s="795">
        <f>'[2]总投资-发采购-0411-GLP拆分场外费用(司调)'!G315</f>
        <v>4063.5</v>
      </c>
      <c r="E258" s="748">
        <f t="shared" si="20"/>
        <v>571.51898734177212</v>
      </c>
      <c r="F258" s="748">
        <f t="shared" si="21"/>
        <v>571.51898734177212</v>
      </c>
      <c r="G258" s="748">
        <f t="shared" si="22"/>
        <v>4063.5</v>
      </c>
      <c r="H258" s="796"/>
      <c r="I258" s="796"/>
      <c r="J258" s="796"/>
      <c r="K258" s="754" t="s">
        <v>224</v>
      </c>
      <c r="L258" s="796"/>
      <c r="M258" s="749" t="s">
        <v>794</v>
      </c>
      <c r="N258" s="796"/>
      <c r="O258" s="796"/>
      <c r="P258" s="798"/>
      <c r="Q258" s="755"/>
      <c r="R258" s="755"/>
      <c r="S258" s="755"/>
      <c r="T258" s="754"/>
    </row>
    <row r="259" spans="1:20" hidden="1">
      <c r="A259" s="745" t="s">
        <v>389</v>
      </c>
      <c r="B259" s="746" t="s">
        <v>743</v>
      </c>
      <c r="C259" s="746"/>
      <c r="D259" s="795">
        <f>'[2]总投资-发采购-0411-GLP拆分场外费用(司调)'!G316</f>
        <v>4063.5</v>
      </c>
      <c r="E259" s="748">
        <f t="shared" si="20"/>
        <v>571.51898734177212</v>
      </c>
      <c r="F259" s="748">
        <f t="shared" si="21"/>
        <v>571.51898734177212</v>
      </c>
      <c r="G259" s="748">
        <f t="shared" si="22"/>
        <v>4063.5</v>
      </c>
      <c r="H259" s="796"/>
      <c r="I259" s="796"/>
      <c r="J259" s="796"/>
      <c r="K259" s="754" t="s">
        <v>224</v>
      </c>
      <c r="L259" s="796"/>
      <c r="M259" s="749" t="s">
        <v>794</v>
      </c>
      <c r="N259" s="796"/>
      <c r="O259" s="796"/>
      <c r="P259" s="798"/>
      <c r="Q259" s="755"/>
      <c r="R259" s="755"/>
      <c r="S259" s="755"/>
      <c r="T259" s="754"/>
    </row>
    <row r="260" spans="1:20" hidden="1">
      <c r="A260" s="745">
        <v>6.6</v>
      </c>
      <c r="B260" s="746" t="s">
        <v>750</v>
      </c>
      <c r="C260" s="746"/>
      <c r="D260" s="795">
        <f>'[2]总投资-发采购-0411-GLP拆分场外费用(司调)'!G317</f>
        <v>1338.12</v>
      </c>
      <c r="E260" s="748">
        <f t="shared" si="20"/>
        <v>188.20253164556959</v>
      </c>
      <c r="F260" s="748">
        <f t="shared" si="21"/>
        <v>188.20253164556959</v>
      </c>
      <c r="G260" s="748">
        <f t="shared" si="22"/>
        <v>1338.12</v>
      </c>
      <c r="H260" s="796"/>
      <c r="I260" s="796"/>
      <c r="J260" s="796"/>
      <c r="K260" s="754" t="s">
        <v>224</v>
      </c>
      <c r="L260" s="796"/>
      <c r="M260" s="749" t="s">
        <v>794</v>
      </c>
      <c r="N260" s="796"/>
      <c r="O260" s="796"/>
      <c r="P260" s="798"/>
      <c r="Q260" s="755"/>
      <c r="R260" s="755"/>
      <c r="S260" s="755"/>
      <c r="T260" s="754"/>
    </row>
    <row r="261" spans="1:20" hidden="1">
      <c r="A261" s="745" t="s">
        <v>391</v>
      </c>
      <c r="B261" s="746" t="s">
        <v>743</v>
      </c>
      <c r="C261" s="746"/>
      <c r="D261" s="795">
        <f>'[2]总投资-发采购-0411-GLP拆分场外费用(司调)'!G318</f>
        <v>1338.12</v>
      </c>
      <c r="E261" s="748">
        <f t="shared" si="20"/>
        <v>188.20253164556959</v>
      </c>
      <c r="F261" s="748">
        <f t="shared" si="21"/>
        <v>188.20253164556959</v>
      </c>
      <c r="G261" s="748">
        <f t="shared" si="22"/>
        <v>1338.12</v>
      </c>
      <c r="H261" s="796"/>
      <c r="I261" s="796"/>
      <c r="J261" s="796"/>
      <c r="K261" s="754" t="s">
        <v>224</v>
      </c>
      <c r="L261" s="796"/>
      <c r="M261" s="749" t="s">
        <v>794</v>
      </c>
      <c r="N261" s="796"/>
      <c r="O261" s="796"/>
      <c r="P261" s="798"/>
      <c r="Q261" s="755"/>
      <c r="R261" s="755"/>
      <c r="S261" s="755"/>
      <c r="T261" s="754"/>
    </row>
    <row r="262" spans="1:20">
      <c r="A262" s="749" t="s">
        <v>392</v>
      </c>
      <c r="B262" s="790" t="s">
        <v>644</v>
      </c>
      <c r="C262" s="790" t="s">
        <v>645</v>
      </c>
      <c r="D262" s="791">
        <f>'[2]总投资-发采购-0411-GLP拆分场外费用(司调)'!G301</f>
        <v>20000</v>
      </c>
      <c r="E262" s="792">
        <f t="shared" si="20"/>
        <v>2812.939521800281</v>
      </c>
      <c r="F262" s="792">
        <f t="shared" si="19"/>
        <v>2812.939521800281</v>
      </c>
      <c r="G262" s="792">
        <f t="shared" si="22"/>
        <v>20000</v>
      </c>
      <c r="H262" s="749" t="s">
        <v>543</v>
      </c>
      <c r="I262" s="749" t="s">
        <v>30</v>
      </c>
      <c r="J262" s="749">
        <v>12</v>
      </c>
      <c r="K262" s="754" t="s">
        <v>31</v>
      </c>
      <c r="L262" s="749"/>
      <c r="M262" s="749" t="s">
        <v>794</v>
      </c>
      <c r="N262" s="749"/>
      <c r="O262" s="749"/>
      <c r="P262" s="755" t="s">
        <v>737</v>
      </c>
      <c r="Q262" s="755" t="s">
        <v>738</v>
      </c>
      <c r="R262" s="755" t="s">
        <v>739</v>
      </c>
      <c r="S262" s="755" t="s">
        <v>740</v>
      </c>
      <c r="T262" s="754"/>
    </row>
    <row r="263" spans="1:20" ht="79.2">
      <c r="A263" s="749" t="s">
        <v>58</v>
      </c>
      <c r="B263" s="790" t="s">
        <v>647</v>
      </c>
      <c r="C263" s="790" t="s">
        <v>648</v>
      </c>
      <c r="D263" s="792">
        <f>SUM('[2]总投资-发采购-0411-GLP拆分场外费用(司调)'!G281,'[2]总投资-发采购-0411-GLP拆分场外费用(司调)'!G282,'[2]总投资-发采购-0411-GLP拆分场外费用(司调)'!G283,'[2]总投资-发采购-0411-GLP拆分场外费用(司调)'!G284,'[2]总投资-发采购-0411-GLP拆分场外费用(司调)'!G285,'[2]总投资-发采购-0411-GLP拆分场外费用(司调)'!G286,'[2]总投资-发采购-0411-GLP拆分场外费用(司调)'!G275,'[2]总投资-发采购-0411-GLP拆分场外费用(司调)'!G276,'[2]总投资-发采购-0411-GLP拆分场外费用(司调)'!G277,'[2]总投资-发采购-0411-GLP拆分场外费用(司调)'!G278,'[2]总投资-发采购-0411-GLP拆分场外费用(司调)'!G279)</f>
        <v>5413.5454999999993</v>
      </c>
      <c r="E263" s="792">
        <f t="shared" si="20"/>
        <v>761.39880450070314</v>
      </c>
      <c r="F263" s="792">
        <f t="shared" si="19"/>
        <v>761.39880450070314</v>
      </c>
      <c r="G263" s="792">
        <f t="shared" ref="G263:G311" si="23">D263</f>
        <v>5413.5454999999993</v>
      </c>
      <c r="H263" s="749" t="s">
        <v>61</v>
      </c>
      <c r="I263" s="749" t="s">
        <v>30</v>
      </c>
      <c r="J263" s="749">
        <v>12</v>
      </c>
      <c r="K263" s="754" t="s">
        <v>31</v>
      </c>
      <c r="L263" s="749" t="s">
        <v>135</v>
      </c>
      <c r="M263" s="749" t="s">
        <v>794</v>
      </c>
      <c r="N263" s="749"/>
      <c r="O263" s="749"/>
      <c r="P263" s="755" t="s">
        <v>737</v>
      </c>
      <c r="Q263" s="755" t="s">
        <v>738</v>
      </c>
      <c r="R263" s="755" t="s">
        <v>739</v>
      </c>
      <c r="S263" s="755" t="s">
        <v>740</v>
      </c>
      <c r="T263" s="754" t="s">
        <v>649</v>
      </c>
    </row>
    <row r="264" spans="1:20" hidden="1">
      <c r="A264" s="745" t="s">
        <v>403</v>
      </c>
      <c r="B264" s="746" t="s">
        <v>751</v>
      </c>
      <c r="C264" s="747">
        <f>'[2]总投资-发采购-0411-GLP拆分场外费用(司调)'!H281</f>
        <v>11022</v>
      </c>
      <c r="D264" s="748">
        <f>'[2]总投资-发采购-0411-GLP拆分场外费用(司调)'!G281</f>
        <v>363.67649999999998</v>
      </c>
      <c r="E264" s="748">
        <f t="shared" si="20"/>
        <v>51.149999999999991</v>
      </c>
      <c r="F264" s="748">
        <f>D264</f>
        <v>363.67649999999998</v>
      </c>
      <c r="G264" s="748">
        <f>E264</f>
        <v>51.149999999999991</v>
      </c>
      <c r="H264" s="749"/>
      <c r="I264" s="749"/>
      <c r="J264" s="749"/>
      <c r="K264" s="754"/>
      <c r="L264" s="749"/>
      <c r="M264" s="749"/>
      <c r="N264" s="749"/>
      <c r="O264" s="749"/>
      <c r="P264" s="755"/>
      <c r="Q264" s="738"/>
      <c r="R264" s="738"/>
      <c r="S264" s="738"/>
      <c r="T264" s="697"/>
    </row>
    <row r="265" spans="1:20" hidden="1">
      <c r="A265" s="745" t="s">
        <v>405</v>
      </c>
      <c r="B265" s="746" t="s">
        <v>752</v>
      </c>
      <c r="C265" s="747">
        <f>'[2]总投资-发采购-0411-GLP拆分场外费用(司调)'!H282</f>
        <v>11707</v>
      </c>
      <c r="D265" s="748">
        <f>'[2]总投资-发采购-0411-GLP拆分场外费用(司调)'!G282</f>
        <v>386.1825</v>
      </c>
      <c r="E265" s="748">
        <f t="shared" ref="E265:E275" si="24">D265/$A$3</f>
        <v>54.315400843881854</v>
      </c>
      <c r="F265" s="748">
        <f t="shared" ref="F265:G274" si="25">D265</f>
        <v>386.1825</v>
      </c>
      <c r="G265" s="748">
        <f t="shared" si="25"/>
        <v>54.315400843881854</v>
      </c>
      <c r="H265" s="749"/>
      <c r="I265" s="749"/>
      <c r="J265" s="749"/>
      <c r="K265" s="754"/>
      <c r="L265" s="749"/>
      <c r="M265" s="749"/>
      <c r="N265" s="749"/>
      <c r="O265" s="749"/>
      <c r="P265" s="755"/>
      <c r="Q265" s="738"/>
      <c r="R265" s="738"/>
      <c r="S265" s="738"/>
      <c r="T265" s="697"/>
    </row>
    <row r="266" spans="1:20" hidden="1">
      <c r="A266" s="745" t="s">
        <v>407</v>
      </c>
      <c r="B266" s="746" t="s">
        <v>753</v>
      </c>
      <c r="C266" s="747">
        <f>'[2]总投资-发采购-0411-GLP拆分场外费用(司调)'!H283</f>
        <v>11707</v>
      </c>
      <c r="D266" s="748">
        <f>'[2]总投资-发采购-0411-GLP拆分场外费用(司调)'!G283</f>
        <v>386.1825</v>
      </c>
      <c r="E266" s="748">
        <f t="shared" si="24"/>
        <v>54.315400843881854</v>
      </c>
      <c r="F266" s="748">
        <f t="shared" si="25"/>
        <v>386.1825</v>
      </c>
      <c r="G266" s="748">
        <f t="shared" si="25"/>
        <v>54.315400843881854</v>
      </c>
      <c r="H266" s="749"/>
      <c r="I266" s="749"/>
      <c r="J266" s="749"/>
      <c r="K266" s="754"/>
      <c r="L266" s="749"/>
      <c r="M266" s="749"/>
      <c r="N266" s="749"/>
      <c r="O266" s="749"/>
      <c r="P266" s="755"/>
      <c r="Q266" s="738"/>
      <c r="R266" s="738"/>
      <c r="S266" s="738"/>
      <c r="T266" s="697"/>
    </row>
    <row r="267" spans="1:20" hidden="1">
      <c r="A267" s="745" t="s">
        <v>409</v>
      </c>
      <c r="B267" s="746" t="s">
        <v>754</v>
      </c>
      <c r="C267" s="747">
        <f>'[2]总投资-发采购-0411-GLP拆分场外费用(司调)'!H284</f>
        <v>11707</v>
      </c>
      <c r="D267" s="748">
        <f>'[2]总投资-发采购-0411-GLP拆分场外费用(司调)'!G284</f>
        <v>386.1825</v>
      </c>
      <c r="E267" s="748">
        <f t="shared" si="24"/>
        <v>54.315400843881854</v>
      </c>
      <c r="F267" s="748">
        <f t="shared" si="25"/>
        <v>386.1825</v>
      </c>
      <c r="G267" s="748">
        <f t="shared" si="25"/>
        <v>54.315400843881854</v>
      </c>
      <c r="H267" s="749"/>
      <c r="I267" s="749"/>
      <c r="J267" s="749"/>
      <c r="K267" s="754"/>
      <c r="L267" s="749"/>
      <c r="M267" s="749"/>
      <c r="N267" s="749"/>
      <c r="O267" s="749"/>
      <c r="P267" s="755"/>
      <c r="Q267" s="738"/>
      <c r="R267" s="738"/>
      <c r="S267" s="738"/>
      <c r="T267" s="697"/>
    </row>
    <row r="268" spans="1:20" hidden="1">
      <c r="A268" s="745" t="s">
        <v>411</v>
      </c>
      <c r="B268" s="746" t="s">
        <v>755</v>
      </c>
      <c r="C268" s="747">
        <f>'[2]总投资-发采购-0411-GLP拆分场外费用(司调)'!H285</f>
        <v>18327</v>
      </c>
      <c r="D268" s="748">
        <f>'[2]总投资-发采购-0411-GLP拆分场外费用(司调)'!G285</f>
        <v>604.76350000000002</v>
      </c>
      <c r="E268" s="748">
        <f t="shared" si="24"/>
        <v>85.058157524613222</v>
      </c>
      <c r="F268" s="748">
        <f t="shared" si="25"/>
        <v>604.76350000000002</v>
      </c>
      <c r="G268" s="748">
        <f t="shared" si="25"/>
        <v>85.058157524613222</v>
      </c>
      <c r="H268" s="749"/>
      <c r="I268" s="749"/>
      <c r="J268" s="749"/>
      <c r="K268" s="754"/>
      <c r="L268" s="749"/>
      <c r="M268" s="749"/>
      <c r="N268" s="749"/>
      <c r="O268" s="749"/>
      <c r="P268" s="755"/>
      <c r="Q268" s="738"/>
      <c r="R268" s="738"/>
      <c r="S268" s="738"/>
      <c r="T268" s="697"/>
    </row>
    <row r="269" spans="1:20" hidden="1">
      <c r="A269" s="745" t="s">
        <v>413</v>
      </c>
      <c r="B269" s="746" t="s">
        <v>756</v>
      </c>
      <c r="C269" s="747">
        <f>'[2]总投资-发采购-0411-GLP拆分场外费用(司调)'!H286</f>
        <v>11664</v>
      </c>
      <c r="D269" s="748">
        <f>'[2]总投资-发采购-0411-GLP拆分场外费用(司调)'!G286</f>
        <v>384.81849999999997</v>
      </c>
      <c r="E269" s="748">
        <f t="shared" si="24"/>
        <v>54.123558368495068</v>
      </c>
      <c r="F269" s="748">
        <f t="shared" si="25"/>
        <v>384.81849999999997</v>
      </c>
      <c r="G269" s="748">
        <f t="shared" si="25"/>
        <v>54.123558368495068</v>
      </c>
      <c r="H269" s="749"/>
      <c r="I269" s="749"/>
      <c r="J269" s="749"/>
      <c r="K269" s="754"/>
      <c r="L269" s="749"/>
      <c r="M269" s="749"/>
      <c r="N269" s="749"/>
      <c r="O269" s="749"/>
      <c r="P269" s="755"/>
      <c r="Q269" s="738"/>
      <c r="R269" s="738"/>
      <c r="S269" s="738"/>
      <c r="T269" s="697"/>
    </row>
    <row r="270" spans="1:20" hidden="1">
      <c r="A270" s="745" t="s">
        <v>415</v>
      </c>
      <c r="B270" s="746" t="s">
        <v>416</v>
      </c>
      <c r="C270" s="747">
        <f>'[2]总投资-发采购-0411-GLP拆分场外费用(司调)'!H275</f>
        <v>16128</v>
      </c>
      <c r="D270" s="748">
        <f>'[2]总投资-发采购-0411-GLP拆分场外费用(司调)'!G275</f>
        <v>532.13049999999998</v>
      </c>
      <c r="E270" s="748">
        <f t="shared" si="24"/>
        <v>74.842545710267217</v>
      </c>
      <c r="F270" s="748">
        <f t="shared" si="25"/>
        <v>532.13049999999998</v>
      </c>
      <c r="G270" s="748">
        <f t="shared" si="25"/>
        <v>74.842545710267217</v>
      </c>
      <c r="H270" s="749"/>
      <c r="I270" s="749"/>
      <c r="J270" s="749"/>
      <c r="K270" s="754"/>
      <c r="L270" s="749"/>
      <c r="M270" s="749"/>
      <c r="N270" s="749"/>
      <c r="O270" s="749"/>
      <c r="P270" s="755"/>
      <c r="Q270" s="738"/>
      <c r="R270" s="738"/>
      <c r="S270" s="738"/>
      <c r="T270" s="697"/>
    </row>
    <row r="271" spans="1:20" hidden="1">
      <c r="A271" s="745" t="s">
        <v>417</v>
      </c>
      <c r="B271" s="746" t="s">
        <v>418</v>
      </c>
      <c r="C271" s="747">
        <f>'[2]总投资-发采购-0411-GLP拆分场外费用(司调)'!H276</f>
        <v>18768</v>
      </c>
      <c r="D271" s="748">
        <f>'[2]总投资-发采购-0411-GLP拆分场外费用(司调)'!G276</f>
        <v>619.25599999999997</v>
      </c>
      <c r="E271" s="748">
        <f t="shared" si="24"/>
        <v>87.096483825597744</v>
      </c>
      <c r="F271" s="748">
        <f t="shared" si="25"/>
        <v>619.25599999999997</v>
      </c>
      <c r="G271" s="748">
        <f t="shared" si="25"/>
        <v>87.096483825597744</v>
      </c>
      <c r="H271" s="749"/>
      <c r="I271" s="749"/>
      <c r="J271" s="749"/>
      <c r="K271" s="754"/>
      <c r="L271" s="749"/>
      <c r="M271" s="749"/>
      <c r="N271" s="749"/>
      <c r="O271" s="749"/>
      <c r="P271" s="755"/>
      <c r="Q271" s="738"/>
      <c r="R271" s="738"/>
      <c r="S271" s="738"/>
      <c r="T271" s="697"/>
    </row>
    <row r="272" spans="1:20" hidden="1">
      <c r="A272" s="745" t="s">
        <v>419</v>
      </c>
      <c r="B272" s="746" t="s">
        <v>420</v>
      </c>
      <c r="C272" s="747">
        <f>'[2]总投资-发采购-0411-GLP拆分场外费用(司调)'!H277</f>
        <v>18768</v>
      </c>
      <c r="D272" s="748">
        <f>'[2]总投资-发采购-0411-GLP拆分场外费用(司调)'!G277</f>
        <v>619.25599999999997</v>
      </c>
      <c r="E272" s="748">
        <f t="shared" si="24"/>
        <v>87.096483825597744</v>
      </c>
      <c r="F272" s="748">
        <f t="shared" si="25"/>
        <v>619.25599999999997</v>
      </c>
      <c r="G272" s="748">
        <f t="shared" si="25"/>
        <v>87.096483825597744</v>
      </c>
      <c r="H272" s="749"/>
      <c r="I272" s="749"/>
      <c r="J272" s="749"/>
      <c r="K272" s="754"/>
      <c r="L272" s="749"/>
      <c r="M272" s="749"/>
      <c r="N272" s="749"/>
      <c r="O272" s="749"/>
      <c r="P272" s="755"/>
      <c r="Q272" s="738"/>
      <c r="R272" s="738"/>
      <c r="S272" s="738"/>
      <c r="T272" s="697"/>
    </row>
    <row r="273" spans="1:20" hidden="1">
      <c r="A273" s="745" t="s">
        <v>421</v>
      </c>
      <c r="B273" s="746" t="s">
        <v>422</v>
      </c>
      <c r="C273" s="747">
        <f>'[2]总投资-发采购-0411-GLP拆分场外费用(司调)'!H278</f>
        <v>17136</v>
      </c>
      <c r="D273" s="748">
        <f>'[2]总投资-发采购-0411-GLP拆分场外费用(司调)'!G278</f>
        <v>565.54849999999999</v>
      </c>
      <c r="E273" s="748">
        <f t="shared" si="24"/>
        <v>79.542686357243312</v>
      </c>
      <c r="F273" s="748">
        <f t="shared" si="25"/>
        <v>565.54849999999999</v>
      </c>
      <c r="G273" s="748">
        <f t="shared" si="25"/>
        <v>79.542686357243312</v>
      </c>
      <c r="H273" s="749"/>
      <c r="I273" s="749"/>
      <c r="J273" s="749"/>
      <c r="K273" s="754"/>
      <c r="L273" s="749"/>
      <c r="M273" s="749"/>
      <c r="N273" s="749"/>
      <c r="O273" s="749"/>
      <c r="P273" s="755"/>
      <c r="Q273" s="738"/>
      <c r="R273" s="738"/>
      <c r="S273" s="738"/>
      <c r="T273" s="697"/>
    </row>
    <row r="274" spans="1:20" hidden="1">
      <c r="A274" s="745" t="s">
        <v>423</v>
      </c>
      <c r="B274" s="746" t="s">
        <v>424</v>
      </c>
      <c r="C274" s="747">
        <f>'[2]总投资-发采购-0411-GLP拆分场外费用(司调)'!H279</f>
        <v>17136</v>
      </c>
      <c r="D274" s="748">
        <f>'[2]总投资-发采购-0411-GLP拆分场外费用(司调)'!G279</f>
        <v>565.54849999999999</v>
      </c>
      <c r="E274" s="748">
        <f t="shared" si="24"/>
        <v>79.542686357243312</v>
      </c>
      <c r="F274" s="748">
        <f t="shared" si="25"/>
        <v>565.54849999999999</v>
      </c>
      <c r="G274" s="748">
        <f t="shared" si="25"/>
        <v>79.542686357243312</v>
      </c>
      <c r="H274" s="749"/>
      <c r="I274" s="749"/>
      <c r="J274" s="749"/>
      <c r="K274" s="754"/>
      <c r="L274" s="749"/>
      <c r="M274" s="749"/>
      <c r="N274" s="749"/>
      <c r="O274" s="749"/>
      <c r="P274" s="755"/>
      <c r="Q274" s="738"/>
      <c r="R274" s="738"/>
      <c r="S274" s="738"/>
      <c r="T274" s="697"/>
    </row>
    <row r="275" spans="1:20" ht="52.8">
      <c r="A275" s="606" t="s">
        <v>63</v>
      </c>
      <c r="B275" s="790" t="s">
        <v>650</v>
      </c>
      <c r="C275" s="683" t="s">
        <v>651</v>
      </c>
      <c r="D275" s="712">
        <f>SUM('[2]总投资-发采购-0411-GLP拆分场外费用(司调)'!G260:G274,'[2]总投资-发采购-0411-GLP拆分场外费用(司调)'!G280)</f>
        <v>6823.4099999999989</v>
      </c>
      <c r="E275" s="685">
        <f t="shared" si="24"/>
        <v>959.69198312236267</v>
      </c>
      <c r="F275" s="685">
        <f t="shared" si="19"/>
        <v>959.69198312236267</v>
      </c>
      <c r="G275" s="685">
        <f t="shared" si="23"/>
        <v>6823.4099999999989</v>
      </c>
      <c r="H275" s="606" t="s">
        <v>61</v>
      </c>
      <c r="I275" s="606" t="s">
        <v>30</v>
      </c>
      <c r="J275" s="715">
        <v>40</v>
      </c>
      <c r="K275" s="697" t="s">
        <v>544</v>
      </c>
      <c r="L275" s="606"/>
      <c r="M275" s="606"/>
      <c r="N275" s="606"/>
      <c r="O275" s="606"/>
      <c r="P275" s="738" t="s">
        <v>181</v>
      </c>
      <c r="Q275" s="738" t="s">
        <v>428</v>
      </c>
      <c r="R275" s="738" t="s">
        <v>517</v>
      </c>
      <c r="S275" s="738" t="s">
        <v>228</v>
      </c>
      <c r="T275" s="697"/>
    </row>
    <row r="276" spans="1:20" hidden="1">
      <c r="A276" s="686">
        <v>4.0999999999999996</v>
      </c>
      <c r="B276" s="687" t="s">
        <v>759</v>
      </c>
      <c r="C276" s="687" t="s">
        <v>431</v>
      </c>
      <c r="D276" s="689">
        <f>[2]总投资20240410!F327</f>
        <v>12236.96</v>
      </c>
      <c r="E276" s="685">
        <f t="shared" ref="E276:E308" si="26">D276/$A$3</f>
        <v>1721.0914205344584</v>
      </c>
      <c r="F276" s="685">
        <f t="shared" si="19"/>
        <v>1721.0914205344584</v>
      </c>
      <c r="G276" s="685">
        <f t="shared" si="23"/>
        <v>12236.96</v>
      </c>
      <c r="H276" s="606" t="s">
        <v>61</v>
      </c>
      <c r="I276" s="700"/>
      <c r="J276" s="700"/>
      <c r="K276" s="697" t="s">
        <v>544</v>
      </c>
      <c r="L276" s="700"/>
      <c r="M276" s="700"/>
      <c r="N276" s="700"/>
      <c r="O276" s="700"/>
      <c r="P276" s="701"/>
      <c r="Q276" s="701"/>
      <c r="R276" s="701"/>
      <c r="S276" s="701"/>
      <c r="T276" s="708"/>
    </row>
    <row r="277" spans="1:20" hidden="1">
      <c r="A277" s="686"/>
      <c r="B277" s="750" t="s">
        <v>760</v>
      </c>
      <c r="C277" s="750">
        <f>SUM(C278:C292)</f>
        <v>196714.11</v>
      </c>
      <c r="D277" s="720">
        <f>SUM(D278:D293)</f>
        <v>6823.414499999999</v>
      </c>
      <c r="E277" s="685">
        <f t="shared" si="26"/>
        <v>959.69261603375503</v>
      </c>
      <c r="F277" s="685">
        <f t="shared" si="19"/>
        <v>959.69261603375503</v>
      </c>
      <c r="G277" s="685">
        <f t="shared" si="23"/>
        <v>6823.414499999999</v>
      </c>
      <c r="H277" s="606" t="s">
        <v>61</v>
      </c>
      <c r="I277" s="700"/>
      <c r="J277" s="700"/>
      <c r="K277" s="697" t="s">
        <v>544</v>
      </c>
      <c r="L277" s="700"/>
      <c r="M277" s="700"/>
      <c r="N277" s="700"/>
      <c r="O277" s="700"/>
      <c r="P277" s="701"/>
      <c r="Q277" s="701"/>
      <c r="R277" s="701"/>
      <c r="S277" s="701"/>
      <c r="T277" s="708"/>
    </row>
    <row r="278" spans="1:20" hidden="1">
      <c r="A278" s="686" t="s">
        <v>433</v>
      </c>
      <c r="B278" s="687" t="s">
        <v>761</v>
      </c>
      <c r="C278" s="687">
        <v>5226.66</v>
      </c>
      <c r="D278" s="689">
        <f>'[2]总投资-发采购-0411-GLP拆分场外费用(司调)'!G260</f>
        <v>172.37549999999999</v>
      </c>
      <c r="E278" s="685">
        <f t="shared" si="26"/>
        <v>24.244092827004216</v>
      </c>
      <c r="F278" s="685">
        <f t="shared" si="19"/>
        <v>24.244092827004216</v>
      </c>
      <c r="G278" s="685">
        <f t="shared" si="23"/>
        <v>172.37549999999999</v>
      </c>
      <c r="H278" s="606" t="s">
        <v>61</v>
      </c>
      <c r="I278" s="700"/>
      <c r="J278" s="700"/>
      <c r="K278" s="697" t="s">
        <v>544</v>
      </c>
      <c r="L278" s="700"/>
      <c r="M278" s="700"/>
      <c r="N278" s="700"/>
      <c r="O278" s="700"/>
      <c r="P278" s="701"/>
      <c r="Q278" s="701"/>
      <c r="R278" s="701"/>
      <c r="S278" s="701"/>
      <c r="T278" s="708"/>
    </row>
    <row r="279" spans="1:20" hidden="1">
      <c r="A279" s="686" t="s">
        <v>435</v>
      </c>
      <c r="B279" s="687" t="s">
        <v>762</v>
      </c>
      <c r="C279" s="687">
        <v>4929.0200000000004</v>
      </c>
      <c r="D279" s="689">
        <f>'[2]总投资-发采购-0411-GLP拆分场外费用(司调)'!G261</f>
        <v>162.65700000000001</v>
      </c>
      <c r="E279" s="685">
        <f t="shared" si="26"/>
        <v>22.877215189873418</v>
      </c>
      <c r="F279" s="685">
        <f t="shared" si="19"/>
        <v>22.877215189873418</v>
      </c>
      <c r="G279" s="685">
        <f t="shared" si="23"/>
        <v>162.65700000000001</v>
      </c>
      <c r="H279" s="606" t="s">
        <v>61</v>
      </c>
      <c r="I279" s="700"/>
      <c r="J279" s="700"/>
      <c r="K279" s="697" t="s">
        <v>544</v>
      </c>
      <c r="L279" s="700"/>
      <c r="M279" s="700"/>
      <c r="N279" s="700"/>
      <c r="O279" s="700"/>
      <c r="P279" s="701"/>
      <c r="Q279" s="701"/>
      <c r="R279" s="701"/>
      <c r="S279" s="701"/>
      <c r="T279" s="708"/>
    </row>
    <row r="280" spans="1:20" hidden="1">
      <c r="A280" s="686" t="s">
        <v>437</v>
      </c>
      <c r="B280" s="687" t="s">
        <v>438</v>
      </c>
      <c r="C280" s="687">
        <v>13104</v>
      </c>
      <c r="D280" s="689">
        <f>'[2]总投资-发采购-0411-GLP拆分场外费用(司调)'!G262</f>
        <v>432.38799999999998</v>
      </c>
      <c r="E280" s="685">
        <f t="shared" si="26"/>
        <v>60.814064697608998</v>
      </c>
      <c r="F280" s="685">
        <f t="shared" si="19"/>
        <v>60.814064697608998</v>
      </c>
      <c r="G280" s="685">
        <f t="shared" si="23"/>
        <v>432.38799999999998</v>
      </c>
      <c r="H280" s="606" t="s">
        <v>61</v>
      </c>
      <c r="I280" s="700"/>
      <c r="J280" s="700"/>
      <c r="K280" s="697" t="s">
        <v>544</v>
      </c>
      <c r="L280" s="700"/>
      <c r="M280" s="700"/>
      <c r="N280" s="700"/>
      <c r="O280" s="700"/>
      <c r="P280" s="701"/>
      <c r="Q280" s="701"/>
      <c r="R280" s="701"/>
      <c r="S280" s="701"/>
      <c r="T280" s="708"/>
    </row>
    <row r="281" spans="1:20" hidden="1">
      <c r="A281" s="686" t="s">
        <v>439</v>
      </c>
      <c r="B281" s="687" t="s">
        <v>440</v>
      </c>
      <c r="C281" s="687">
        <v>13104</v>
      </c>
      <c r="D281" s="689">
        <f>'[2]总投资-发采购-0411-GLP拆分场外费用(司调)'!G263</f>
        <v>432.38799999999998</v>
      </c>
      <c r="E281" s="685">
        <f t="shared" si="26"/>
        <v>60.814064697608998</v>
      </c>
      <c r="F281" s="685">
        <f t="shared" si="19"/>
        <v>60.814064697608998</v>
      </c>
      <c r="G281" s="685">
        <f t="shared" si="23"/>
        <v>432.38799999999998</v>
      </c>
      <c r="H281" s="606" t="s">
        <v>61</v>
      </c>
      <c r="I281" s="700"/>
      <c r="J281" s="700"/>
      <c r="K281" s="697" t="s">
        <v>544</v>
      </c>
      <c r="L281" s="700"/>
      <c r="M281" s="700"/>
      <c r="N281" s="700"/>
      <c r="O281" s="700"/>
      <c r="P281" s="701"/>
      <c r="Q281" s="701"/>
      <c r="R281" s="701"/>
      <c r="S281" s="701"/>
      <c r="T281" s="708"/>
    </row>
    <row r="282" spans="1:20" hidden="1">
      <c r="A282" s="686" t="s">
        <v>441</v>
      </c>
      <c r="B282" s="687" t="s">
        <v>442</v>
      </c>
      <c r="C282" s="687">
        <v>13104</v>
      </c>
      <c r="D282" s="689">
        <f>'[2]总投资-发采购-0411-GLP拆分场外费用(司调)'!G264</f>
        <v>432.38799999999998</v>
      </c>
      <c r="E282" s="685">
        <f t="shared" si="26"/>
        <v>60.814064697608998</v>
      </c>
      <c r="F282" s="685">
        <f t="shared" si="19"/>
        <v>60.814064697608998</v>
      </c>
      <c r="G282" s="685">
        <f t="shared" si="23"/>
        <v>432.38799999999998</v>
      </c>
      <c r="H282" s="606" t="s">
        <v>61</v>
      </c>
      <c r="I282" s="700"/>
      <c r="J282" s="700"/>
      <c r="K282" s="697" t="s">
        <v>544</v>
      </c>
      <c r="L282" s="700"/>
      <c r="M282" s="700"/>
      <c r="N282" s="700"/>
      <c r="O282" s="700"/>
      <c r="P282" s="701"/>
      <c r="Q282" s="701"/>
      <c r="R282" s="701"/>
      <c r="S282" s="701"/>
      <c r="T282" s="708"/>
    </row>
    <row r="283" spans="1:20" hidden="1">
      <c r="A283" s="686" t="s">
        <v>443</v>
      </c>
      <c r="B283" s="687" t="s">
        <v>444</v>
      </c>
      <c r="C283" s="687">
        <v>13104</v>
      </c>
      <c r="D283" s="689">
        <f>'[2]总投资-发采购-0411-GLP拆分场外费用(司调)'!G265</f>
        <v>432.38799999999998</v>
      </c>
      <c r="E283" s="685">
        <f t="shared" si="26"/>
        <v>60.814064697608998</v>
      </c>
      <c r="F283" s="685">
        <f t="shared" si="19"/>
        <v>60.814064697608998</v>
      </c>
      <c r="G283" s="685">
        <f t="shared" si="23"/>
        <v>432.38799999999998</v>
      </c>
      <c r="H283" s="606" t="s">
        <v>61</v>
      </c>
      <c r="I283" s="700"/>
      <c r="J283" s="700"/>
      <c r="K283" s="697" t="s">
        <v>544</v>
      </c>
      <c r="L283" s="700"/>
      <c r="M283" s="700"/>
      <c r="N283" s="700"/>
      <c r="O283" s="700"/>
      <c r="P283" s="701"/>
      <c r="Q283" s="701"/>
      <c r="R283" s="701"/>
      <c r="S283" s="701"/>
      <c r="T283" s="708"/>
    </row>
    <row r="284" spans="1:20" hidden="1">
      <c r="A284" s="686" t="s">
        <v>445</v>
      </c>
      <c r="B284" s="687" t="s">
        <v>446</v>
      </c>
      <c r="C284" s="687">
        <v>13104</v>
      </c>
      <c r="D284" s="689">
        <f>'[2]总投资-发采购-0411-GLP拆分场外费用(司调)'!G266</f>
        <v>432.38799999999998</v>
      </c>
      <c r="E284" s="685">
        <f t="shared" si="26"/>
        <v>60.814064697608998</v>
      </c>
      <c r="F284" s="685">
        <f t="shared" si="19"/>
        <v>60.814064697608998</v>
      </c>
      <c r="G284" s="685">
        <f t="shared" si="23"/>
        <v>432.38799999999998</v>
      </c>
      <c r="H284" s="606" t="s">
        <v>61</v>
      </c>
      <c r="I284" s="700"/>
      <c r="J284" s="700"/>
      <c r="K284" s="697" t="s">
        <v>544</v>
      </c>
      <c r="L284" s="700"/>
      <c r="M284" s="700"/>
      <c r="N284" s="700"/>
      <c r="O284" s="700"/>
      <c r="P284" s="701"/>
      <c r="Q284" s="701"/>
      <c r="R284" s="701"/>
      <c r="S284" s="701"/>
      <c r="T284" s="708"/>
    </row>
    <row r="285" spans="1:20" hidden="1">
      <c r="A285" s="686" t="s">
        <v>447</v>
      </c>
      <c r="B285" s="687" t="s">
        <v>448</v>
      </c>
      <c r="C285" s="687">
        <v>15120</v>
      </c>
      <c r="D285" s="689">
        <f>'[2]总投资-发采购-0411-GLP拆分场外费用(司调)'!G267</f>
        <v>498.88299999999998</v>
      </c>
      <c r="E285" s="685">
        <f t="shared" si="26"/>
        <v>70.166385372714487</v>
      </c>
      <c r="F285" s="685">
        <f t="shared" si="19"/>
        <v>70.166385372714487</v>
      </c>
      <c r="G285" s="685">
        <f t="shared" si="23"/>
        <v>498.88299999999998</v>
      </c>
      <c r="H285" s="606" t="s">
        <v>61</v>
      </c>
      <c r="I285" s="700"/>
      <c r="J285" s="700"/>
      <c r="K285" s="697" t="s">
        <v>544</v>
      </c>
      <c r="L285" s="700"/>
      <c r="M285" s="700"/>
      <c r="N285" s="700"/>
      <c r="O285" s="700"/>
      <c r="P285" s="701"/>
      <c r="Q285" s="701"/>
      <c r="R285" s="701"/>
      <c r="S285" s="701"/>
      <c r="T285" s="708"/>
    </row>
    <row r="286" spans="1:20" hidden="1">
      <c r="A286" s="686" t="s">
        <v>449</v>
      </c>
      <c r="B286" s="687" t="s">
        <v>450</v>
      </c>
      <c r="C286" s="687">
        <v>15120</v>
      </c>
      <c r="D286" s="689">
        <f>'[2]总投资-发采购-0411-GLP拆分场外费用(司调)'!G268</f>
        <v>498.88299999999998</v>
      </c>
      <c r="E286" s="685">
        <f t="shared" si="26"/>
        <v>70.166385372714487</v>
      </c>
      <c r="F286" s="685">
        <f t="shared" si="19"/>
        <v>70.166385372714487</v>
      </c>
      <c r="G286" s="685">
        <f t="shared" si="23"/>
        <v>498.88299999999998</v>
      </c>
      <c r="H286" s="606" t="s">
        <v>61</v>
      </c>
      <c r="I286" s="700"/>
      <c r="J286" s="700"/>
      <c r="K286" s="697" t="s">
        <v>544</v>
      </c>
      <c r="L286" s="700"/>
      <c r="M286" s="700"/>
      <c r="N286" s="700"/>
      <c r="O286" s="700"/>
      <c r="P286" s="701"/>
      <c r="Q286" s="701"/>
      <c r="R286" s="701"/>
      <c r="S286" s="701"/>
      <c r="T286" s="708"/>
    </row>
    <row r="287" spans="1:20" hidden="1">
      <c r="A287" s="686" t="s">
        <v>451</v>
      </c>
      <c r="B287" s="687" t="s">
        <v>452</v>
      </c>
      <c r="C287" s="687">
        <v>15120</v>
      </c>
      <c r="D287" s="689">
        <f>'[2]总投资-发采购-0411-GLP拆分场外费用(司调)'!G269</f>
        <v>498.88299999999998</v>
      </c>
      <c r="E287" s="685">
        <f t="shared" si="26"/>
        <v>70.166385372714487</v>
      </c>
      <c r="F287" s="685">
        <f t="shared" si="19"/>
        <v>70.166385372714487</v>
      </c>
      <c r="G287" s="685">
        <f t="shared" si="23"/>
        <v>498.88299999999998</v>
      </c>
      <c r="H287" s="606" t="s">
        <v>61</v>
      </c>
      <c r="I287" s="700"/>
      <c r="J287" s="700"/>
      <c r="K287" s="697" t="s">
        <v>544</v>
      </c>
      <c r="L287" s="700"/>
      <c r="M287" s="700"/>
      <c r="N287" s="700"/>
      <c r="O287" s="700"/>
      <c r="P287" s="701"/>
      <c r="Q287" s="701"/>
      <c r="R287" s="701"/>
      <c r="S287" s="701"/>
      <c r="T287" s="708"/>
    </row>
    <row r="288" spans="1:20" hidden="1">
      <c r="A288" s="686" t="s">
        <v>453</v>
      </c>
      <c r="B288" s="687" t="s">
        <v>454</v>
      </c>
      <c r="C288" s="687">
        <v>15120</v>
      </c>
      <c r="D288" s="689">
        <f>'[2]总投资-发采购-0411-GLP拆分场外费用(司调)'!G270</f>
        <v>498.88299999999998</v>
      </c>
      <c r="E288" s="685">
        <f t="shared" si="26"/>
        <v>70.166385372714487</v>
      </c>
      <c r="F288" s="685">
        <f t="shared" si="19"/>
        <v>70.166385372714487</v>
      </c>
      <c r="G288" s="685">
        <f t="shared" si="23"/>
        <v>498.88299999999998</v>
      </c>
      <c r="H288" s="606" t="s">
        <v>61</v>
      </c>
      <c r="I288" s="700"/>
      <c r="J288" s="700"/>
      <c r="K288" s="697" t="s">
        <v>544</v>
      </c>
      <c r="L288" s="700"/>
      <c r="M288" s="700"/>
      <c r="N288" s="700"/>
      <c r="O288" s="700"/>
      <c r="P288" s="701"/>
      <c r="Q288" s="701"/>
      <c r="R288" s="701"/>
      <c r="S288" s="701"/>
      <c r="T288" s="708"/>
    </row>
    <row r="289" spans="1:20" hidden="1">
      <c r="A289" s="686" t="s">
        <v>455</v>
      </c>
      <c r="B289" s="687" t="s">
        <v>456</v>
      </c>
      <c r="C289" s="687">
        <v>10800</v>
      </c>
      <c r="D289" s="689">
        <f>'[2]总投资-发采购-0411-GLP拆分场外费用(司调)'!G271</f>
        <v>356.34500000000003</v>
      </c>
      <c r="E289" s="685">
        <f t="shared" si="26"/>
        <v>50.118846694796062</v>
      </c>
      <c r="F289" s="685">
        <f t="shared" si="19"/>
        <v>50.118846694796062</v>
      </c>
      <c r="G289" s="685">
        <f t="shared" si="23"/>
        <v>356.34500000000003</v>
      </c>
      <c r="H289" s="606" t="s">
        <v>61</v>
      </c>
      <c r="I289" s="700"/>
      <c r="J289" s="700"/>
      <c r="K289" s="697" t="s">
        <v>544</v>
      </c>
      <c r="L289" s="700"/>
      <c r="M289" s="700"/>
      <c r="N289" s="700"/>
      <c r="O289" s="700"/>
      <c r="P289" s="701"/>
      <c r="Q289" s="701"/>
      <c r="R289" s="701"/>
      <c r="S289" s="701"/>
      <c r="T289" s="708"/>
    </row>
    <row r="290" spans="1:20" hidden="1">
      <c r="A290" s="686" t="s">
        <v>457</v>
      </c>
      <c r="B290" s="687" t="s">
        <v>458</v>
      </c>
      <c r="C290" s="687">
        <v>9360</v>
      </c>
      <c r="D290" s="689">
        <f>'[2]总投资-发采购-0411-GLP拆分场外费用(司调)'!G272</f>
        <v>308.77550000000002</v>
      </c>
      <c r="E290" s="685">
        <f t="shared" si="26"/>
        <v>43.428340365682139</v>
      </c>
      <c r="F290" s="685">
        <f t="shared" si="19"/>
        <v>43.428340365682139</v>
      </c>
      <c r="G290" s="685">
        <f t="shared" si="23"/>
        <v>308.77550000000002</v>
      </c>
      <c r="H290" s="606" t="s">
        <v>61</v>
      </c>
      <c r="I290" s="700"/>
      <c r="J290" s="700"/>
      <c r="K290" s="697" t="s">
        <v>544</v>
      </c>
      <c r="L290" s="700"/>
      <c r="M290" s="700"/>
      <c r="N290" s="700"/>
      <c r="O290" s="700"/>
      <c r="P290" s="701"/>
      <c r="Q290" s="701"/>
      <c r="R290" s="701"/>
      <c r="S290" s="701"/>
      <c r="T290" s="708"/>
    </row>
    <row r="291" spans="1:20" hidden="1">
      <c r="A291" s="686" t="s">
        <v>459</v>
      </c>
      <c r="B291" s="687" t="s">
        <v>460</v>
      </c>
      <c r="C291" s="687">
        <v>17136</v>
      </c>
      <c r="D291" s="689">
        <f>'[2]总投资-发采购-0411-GLP拆分场外费用(司调)'!G273</f>
        <v>565.54849999999999</v>
      </c>
      <c r="E291" s="685">
        <f t="shared" si="26"/>
        <v>79.542686357243312</v>
      </c>
      <c r="F291" s="685">
        <f t="shared" si="19"/>
        <v>79.542686357243312</v>
      </c>
      <c r="G291" s="685">
        <f t="shared" si="23"/>
        <v>565.54849999999999</v>
      </c>
      <c r="H291" s="606" t="s">
        <v>61</v>
      </c>
      <c r="I291" s="700"/>
      <c r="J291" s="700"/>
      <c r="K291" s="697" t="s">
        <v>544</v>
      </c>
      <c r="L291" s="700"/>
      <c r="M291" s="700"/>
      <c r="N291" s="700"/>
      <c r="O291" s="700"/>
      <c r="P291" s="701"/>
      <c r="Q291" s="701"/>
      <c r="R291" s="701"/>
      <c r="S291" s="701"/>
      <c r="T291" s="708"/>
    </row>
    <row r="292" spans="1:20" hidden="1">
      <c r="A292" s="686" t="s">
        <v>461</v>
      </c>
      <c r="B292" s="687" t="s">
        <v>462</v>
      </c>
      <c r="C292" s="687">
        <v>23262.43</v>
      </c>
      <c r="D292" s="689">
        <f>'[2]总投资-发采购-0411-GLP拆分场外费用(司调)'!G274</f>
        <v>767.59100000000001</v>
      </c>
      <c r="E292" s="685">
        <f t="shared" si="26"/>
        <v>107.95935302390998</v>
      </c>
      <c r="F292" s="685">
        <f t="shared" si="19"/>
        <v>107.95935302390998</v>
      </c>
      <c r="G292" s="685">
        <f t="shared" si="23"/>
        <v>767.59100000000001</v>
      </c>
      <c r="H292" s="606" t="s">
        <v>61</v>
      </c>
      <c r="I292" s="700"/>
      <c r="J292" s="700"/>
      <c r="K292" s="697" t="s">
        <v>544</v>
      </c>
      <c r="L292" s="700"/>
      <c r="M292" s="700"/>
      <c r="N292" s="700"/>
      <c r="O292" s="700"/>
      <c r="P292" s="701"/>
      <c r="Q292" s="701"/>
      <c r="R292" s="701"/>
      <c r="S292" s="701"/>
      <c r="T292" s="708"/>
    </row>
    <row r="293" spans="1:20" hidden="1">
      <c r="A293" s="686" t="s">
        <v>463</v>
      </c>
      <c r="B293" s="687" t="s">
        <v>763</v>
      </c>
      <c r="C293" s="687">
        <v>10080</v>
      </c>
      <c r="D293" s="689">
        <v>332.65</v>
      </c>
      <c r="E293" s="685">
        <f t="shared" si="26"/>
        <v>46.786216596343174</v>
      </c>
      <c r="F293" s="685">
        <f t="shared" si="19"/>
        <v>46.786216596343174</v>
      </c>
      <c r="G293" s="685">
        <f t="shared" si="23"/>
        <v>332.65</v>
      </c>
      <c r="H293" s="606" t="s">
        <v>61</v>
      </c>
      <c r="I293" s="700"/>
      <c r="J293" s="700"/>
      <c r="K293" s="697" t="s">
        <v>544</v>
      </c>
      <c r="L293" s="700"/>
      <c r="M293" s="700"/>
      <c r="N293" s="700"/>
      <c r="O293" s="700"/>
      <c r="P293" s="701"/>
      <c r="Q293" s="701"/>
      <c r="R293" s="701"/>
      <c r="S293" s="701"/>
      <c r="T293" s="708"/>
    </row>
    <row r="294" spans="1:20" hidden="1">
      <c r="A294" s="686"/>
      <c r="B294" s="750" t="s">
        <v>764</v>
      </c>
      <c r="C294" s="750">
        <f>SUM(C295:C299)</f>
        <v>87936</v>
      </c>
      <c r="D294" s="720">
        <f>SUM(D295:D299)</f>
        <v>2901.75</v>
      </c>
      <c r="E294" s="685">
        <f t="shared" si="26"/>
        <v>408.1223628691983</v>
      </c>
      <c r="F294" s="685">
        <f t="shared" si="19"/>
        <v>408.1223628691983</v>
      </c>
      <c r="G294" s="685">
        <f t="shared" si="23"/>
        <v>2901.75</v>
      </c>
      <c r="H294" s="606" t="s">
        <v>61</v>
      </c>
      <c r="I294" s="700"/>
      <c r="J294" s="700"/>
      <c r="K294" s="697" t="s">
        <v>544</v>
      </c>
      <c r="L294" s="700"/>
      <c r="M294" s="700"/>
      <c r="N294" s="700"/>
      <c r="O294" s="700"/>
      <c r="P294" s="701"/>
      <c r="Q294" s="701"/>
      <c r="R294" s="701"/>
      <c r="S294" s="701"/>
      <c r="T294" s="708"/>
    </row>
    <row r="295" spans="1:20" hidden="1">
      <c r="A295" s="686" t="s">
        <v>415</v>
      </c>
      <c r="B295" s="687" t="s">
        <v>765</v>
      </c>
      <c r="C295" s="687">
        <v>16128</v>
      </c>
      <c r="D295" s="689">
        <v>532.13</v>
      </c>
      <c r="E295" s="685">
        <f t="shared" si="26"/>
        <v>74.842475386779185</v>
      </c>
      <c r="F295" s="685">
        <f t="shared" si="19"/>
        <v>74.842475386779185</v>
      </c>
      <c r="G295" s="685">
        <f t="shared" si="23"/>
        <v>532.13</v>
      </c>
      <c r="H295" s="606" t="s">
        <v>61</v>
      </c>
      <c r="I295" s="700"/>
      <c r="J295" s="700"/>
      <c r="K295" s="697" t="s">
        <v>544</v>
      </c>
      <c r="L295" s="700"/>
      <c r="M295" s="700"/>
      <c r="N295" s="700"/>
      <c r="O295" s="700"/>
      <c r="P295" s="701"/>
      <c r="Q295" s="701"/>
      <c r="R295" s="701"/>
      <c r="S295" s="701"/>
      <c r="T295" s="708"/>
    </row>
    <row r="296" spans="1:20" hidden="1">
      <c r="A296" s="686" t="s">
        <v>417</v>
      </c>
      <c r="B296" s="687" t="s">
        <v>766</v>
      </c>
      <c r="C296" s="687">
        <v>18768</v>
      </c>
      <c r="D296" s="689">
        <v>619.26</v>
      </c>
      <c r="E296" s="685">
        <f t="shared" si="26"/>
        <v>87.097046413502099</v>
      </c>
      <c r="F296" s="685">
        <f t="shared" si="19"/>
        <v>87.097046413502099</v>
      </c>
      <c r="G296" s="685">
        <f t="shared" si="23"/>
        <v>619.26</v>
      </c>
      <c r="H296" s="606" t="s">
        <v>61</v>
      </c>
      <c r="I296" s="700"/>
      <c r="J296" s="700"/>
      <c r="K296" s="697" t="s">
        <v>544</v>
      </c>
      <c r="L296" s="700"/>
      <c r="M296" s="700"/>
      <c r="N296" s="700"/>
      <c r="O296" s="700"/>
      <c r="P296" s="701"/>
      <c r="Q296" s="701"/>
      <c r="R296" s="701"/>
      <c r="S296" s="701"/>
      <c r="T296" s="708"/>
    </row>
    <row r="297" spans="1:20" hidden="1">
      <c r="A297" s="686" t="s">
        <v>419</v>
      </c>
      <c r="B297" s="687" t="s">
        <v>767</v>
      </c>
      <c r="C297" s="687">
        <v>18768</v>
      </c>
      <c r="D297" s="689">
        <v>619.26</v>
      </c>
      <c r="E297" s="685">
        <f t="shared" si="26"/>
        <v>87.097046413502099</v>
      </c>
      <c r="F297" s="685">
        <f t="shared" si="19"/>
        <v>87.097046413502099</v>
      </c>
      <c r="G297" s="685">
        <f t="shared" si="23"/>
        <v>619.26</v>
      </c>
      <c r="H297" s="606" t="s">
        <v>61</v>
      </c>
      <c r="I297" s="700"/>
      <c r="J297" s="700"/>
      <c r="K297" s="697" t="s">
        <v>544</v>
      </c>
      <c r="L297" s="700"/>
      <c r="M297" s="700"/>
      <c r="N297" s="700"/>
      <c r="O297" s="700"/>
      <c r="P297" s="701"/>
      <c r="Q297" s="701"/>
      <c r="R297" s="701"/>
      <c r="S297" s="701"/>
      <c r="T297" s="708"/>
    </row>
    <row r="298" spans="1:20" hidden="1">
      <c r="A298" s="686" t="s">
        <v>421</v>
      </c>
      <c r="B298" s="687" t="s">
        <v>768</v>
      </c>
      <c r="C298" s="687">
        <v>17136</v>
      </c>
      <c r="D298" s="689">
        <v>565.54999999999995</v>
      </c>
      <c r="E298" s="685">
        <f t="shared" si="26"/>
        <v>79.54289732770745</v>
      </c>
      <c r="F298" s="685">
        <f t="shared" si="19"/>
        <v>79.54289732770745</v>
      </c>
      <c r="G298" s="685">
        <f t="shared" si="23"/>
        <v>565.54999999999995</v>
      </c>
      <c r="H298" s="606" t="s">
        <v>61</v>
      </c>
      <c r="I298" s="700"/>
      <c r="J298" s="700"/>
      <c r="K298" s="697" t="s">
        <v>544</v>
      </c>
      <c r="L298" s="700"/>
      <c r="M298" s="700"/>
      <c r="N298" s="700"/>
      <c r="O298" s="700"/>
      <c r="P298" s="701"/>
      <c r="Q298" s="701"/>
      <c r="R298" s="701"/>
      <c r="S298" s="701"/>
      <c r="T298" s="708"/>
    </row>
    <row r="299" spans="1:20" hidden="1">
      <c r="A299" s="686" t="s">
        <v>423</v>
      </c>
      <c r="B299" s="687" t="s">
        <v>769</v>
      </c>
      <c r="C299" s="687">
        <v>17136</v>
      </c>
      <c r="D299" s="689">
        <v>565.54999999999995</v>
      </c>
      <c r="E299" s="685">
        <f t="shared" si="26"/>
        <v>79.54289732770745</v>
      </c>
      <c r="F299" s="685">
        <f t="shared" si="19"/>
        <v>79.54289732770745</v>
      </c>
      <c r="G299" s="685">
        <f t="shared" si="23"/>
        <v>565.54999999999995</v>
      </c>
      <c r="H299" s="606" t="s">
        <v>61</v>
      </c>
      <c r="I299" s="700"/>
      <c r="J299" s="700"/>
      <c r="K299" s="697" t="s">
        <v>544</v>
      </c>
      <c r="L299" s="700"/>
      <c r="M299" s="700"/>
      <c r="N299" s="700"/>
      <c r="O299" s="700"/>
      <c r="P299" s="701"/>
      <c r="Q299" s="701"/>
      <c r="R299" s="701"/>
      <c r="S299" s="701"/>
      <c r="T299" s="708"/>
    </row>
    <row r="300" spans="1:20" hidden="1">
      <c r="A300" s="686"/>
      <c r="B300" s="750" t="s">
        <v>770</v>
      </c>
      <c r="C300" s="750">
        <f ca="1">SUM(C293:C306)</f>
        <v>86214</v>
      </c>
      <c r="D300" s="720">
        <f ca="1">SUM(D293:D306)</f>
        <v>2844.45</v>
      </c>
      <c r="E300" s="685">
        <f t="shared" ca="1" si="26"/>
        <v>961.49055194667903</v>
      </c>
      <c r="F300" s="685">
        <f t="shared" ca="1" si="19"/>
        <v>961.49055194667903</v>
      </c>
      <c r="G300" s="685">
        <f t="shared" ca="1" si="23"/>
        <v>6823.41</v>
      </c>
      <c r="H300" s="606" t="s">
        <v>61</v>
      </c>
      <c r="I300" s="700"/>
      <c r="J300" s="700"/>
      <c r="K300" s="697" t="s">
        <v>544</v>
      </c>
      <c r="L300" s="700"/>
      <c r="M300" s="700"/>
      <c r="N300" s="700"/>
      <c r="O300" s="700"/>
      <c r="P300" s="701"/>
      <c r="Q300" s="701"/>
      <c r="R300" s="701"/>
      <c r="S300" s="701"/>
      <c r="T300" s="708"/>
    </row>
    <row r="301" spans="1:20" hidden="1">
      <c r="A301" s="686" t="s">
        <v>403</v>
      </c>
      <c r="B301" s="687" t="s">
        <v>771</v>
      </c>
      <c r="C301" s="687">
        <v>11022</v>
      </c>
      <c r="D301" s="689">
        <v>363.68</v>
      </c>
      <c r="E301" s="685">
        <f t="shared" si="26"/>
        <v>51.150492264416314</v>
      </c>
      <c r="F301" s="685">
        <f t="shared" si="19"/>
        <v>51.150492264416314</v>
      </c>
      <c r="G301" s="685">
        <f t="shared" si="23"/>
        <v>363.68</v>
      </c>
      <c r="H301" s="606" t="s">
        <v>61</v>
      </c>
      <c r="I301" s="700"/>
      <c r="J301" s="700"/>
      <c r="K301" s="697" t="s">
        <v>544</v>
      </c>
      <c r="L301" s="700"/>
      <c r="M301" s="700"/>
      <c r="N301" s="700"/>
      <c r="O301" s="700"/>
      <c r="P301" s="701"/>
      <c r="Q301" s="701"/>
      <c r="R301" s="701"/>
      <c r="S301" s="701"/>
      <c r="T301" s="708"/>
    </row>
    <row r="302" spans="1:20" hidden="1">
      <c r="A302" s="686" t="s">
        <v>405</v>
      </c>
      <c r="B302" s="687" t="s">
        <v>752</v>
      </c>
      <c r="C302" s="687">
        <v>11707</v>
      </c>
      <c r="D302" s="689">
        <v>386.18</v>
      </c>
      <c r="E302" s="685">
        <f t="shared" si="26"/>
        <v>54.31504922644163</v>
      </c>
      <c r="F302" s="685">
        <f t="shared" si="19"/>
        <v>54.31504922644163</v>
      </c>
      <c r="G302" s="685">
        <f t="shared" si="23"/>
        <v>386.18</v>
      </c>
      <c r="H302" s="606" t="s">
        <v>61</v>
      </c>
      <c r="I302" s="700"/>
      <c r="J302" s="700"/>
      <c r="K302" s="697" t="s">
        <v>544</v>
      </c>
      <c r="L302" s="700"/>
      <c r="M302" s="700"/>
      <c r="N302" s="700"/>
      <c r="O302" s="700"/>
      <c r="P302" s="701"/>
      <c r="Q302" s="701"/>
      <c r="R302" s="701"/>
      <c r="S302" s="701"/>
      <c r="T302" s="708"/>
    </row>
    <row r="303" spans="1:20" hidden="1">
      <c r="A303" s="686" t="s">
        <v>407</v>
      </c>
      <c r="B303" s="687" t="s">
        <v>753</v>
      </c>
      <c r="C303" s="687">
        <v>11707</v>
      </c>
      <c r="D303" s="689">
        <v>386.18</v>
      </c>
      <c r="E303" s="685">
        <f t="shared" si="26"/>
        <v>54.31504922644163</v>
      </c>
      <c r="F303" s="685">
        <f t="shared" si="19"/>
        <v>54.31504922644163</v>
      </c>
      <c r="G303" s="685">
        <f t="shared" si="23"/>
        <v>386.18</v>
      </c>
      <c r="H303" s="606" t="s">
        <v>61</v>
      </c>
      <c r="I303" s="700"/>
      <c r="J303" s="700"/>
      <c r="K303" s="697" t="s">
        <v>544</v>
      </c>
      <c r="L303" s="700"/>
      <c r="M303" s="700"/>
      <c r="N303" s="700"/>
      <c r="O303" s="700"/>
      <c r="P303" s="701"/>
      <c r="Q303" s="701"/>
      <c r="R303" s="701"/>
      <c r="S303" s="701"/>
      <c r="T303" s="708"/>
    </row>
    <row r="304" spans="1:20" hidden="1">
      <c r="A304" s="686" t="s">
        <v>409</v>
      </c>
      <c r="B304" s="687" t="s">
        <v>754</v>
      </c>
      <c r="C304" s="687">
        <v>11707</v>
      </c>
      <c r="D304" s="689">
        <v>386.18</v>
      </c>
      <c r="E304" s="685">
        <f t="shared" si="26"/>
        <v>54.31504922644163</v>
      </c>
      <c r="F304" s="685">
        <f t="shared" si="19"/>
        <v>54.31504922644163</v>
      </c>
      <c r="G304" s="685">
        <f t="shared" si="23"/>
        <v>386.18</v>
      </c>
      <c r="H304" s="606" t="s">
        <v>61</v>
      </c>
      <c r="I304" s="700"/>
      <c r="J304" s="700"/>
      <c r="K304" s="697" t="s">
        <v>544</v>
      </c>
      <c r="L304" s="700"/>
      <c r="M304" s="700"/>
      <c r="N304" s="700"/>
      <c r="O304" s="700"/>
      <c r="P304" s="701"/>
      <c r="Q304" s="701"/>
      <c r="R304" s="701"/>
      <c r="S304" s="701"/>
      <c r="T304" s="708"/>
    </row>
    <row r="305" spans="1:20" hidden="1">
      <c r="A305" s="686" t="s">
        <v>411</v>
      </c>
      <c r="B305" s="687" t="s">
        <v>755</v>
      </c>
      <c r="C305" s="687">
        <v>18327</v>
      </c>
      <c r="D305" s="689">
        <v>604.76</v>
      </c>
      <c r="E305" s="685">
        <f t="shared" si="26"/>
        <v>85.057665260196899</v>
      </c>
      <c r="F305" s="685">
        <f t="shared" si="19"/>
        <v>85.057665260196899</v>
      </c>
      <c r="G305" s="685">
        <f t="shared" si="23"/>
        <v>604.76</v>
      </c>
      <c r="H305" s="606" t="s">
        <v>61</v>
      </c>
      <c r="I305" s="700"/>
      <c r="J305" s="700"/>
      <c r="K305" s="697" t="s">
        <v>544</v>
      </c>
      <c r="L305" s="700"/>
      <c r="M305" s="700"/>
      <c r="N305" s="700"/>
      <c r="O305" s="700"/>
      <c r="P305" s="701"/>
      <c r="Q305" s="701"/>
      <c r="R305" s="701"/>
      <c r="S305" s="701"/>
      <c r="T305" s="708"/>
    </row>
    <row r="306" spans="1:20" hidden="1">
      <c r="A306" s="686" t="s">
        <v>413</v>
      </c>
      <c r="B306" s="687" t="s">
        <v>755</v>
      </c>
      <c r="C306" s="687">
        <v>11664</v>
      </c>
      <c r="D306" s="689">
        <v>384.82</v>
      </c>
      <c r="E306" s="685">
        <f t="shared" si="26"/>
        <v>54.123769338959207</v>
      </c>
      <c r="F306" s="685">
        <f t="shared" si="19"/>
        <v>54.123769338959207</v>
      </c>
      <c r="G306" s="685">
        <f t="shared" si="23"/>
        <v>384.82</v>
      </c>
      <c r="H306" s="606" t="s">
        <v>61</v>
      </c>
      <c r="I306" s="700"/>
      <c r="J306" s="700"/>
      <c r="K306" s="697" t="s">
        <v>544</v>
      </c>
      <c r="L306" s="700"/>
      <c r="M306" s="700"/>
      <c r="N306" s="700"/>
      <c r="O306" s="700"/>
      <c r="P306" s="701"/>
      <c r="Q306" s="701"/>
      <c r="R306" s="701"/>
      <c r="S306" s="701"/>
      <c r="T306" s="708"/>
    </row>
    <row r="307" spans="1:20" ht="26.4">
      <c r="A307" s="606" t="s">
        <v>66</v>
      </c>
      <c r="B307" s="709" t="s">
        <v>795</v>
      </c>
      <c r="C307" s="709" t="s">
        <v>796</v>
      </c>
      <c r="D307" s="712">
        <f>'[2]总投资-发采购-0411-GLP拆分场外费用(司调)'!G251</f>
        <v>3364</v>
      </c>
      <c r="E307" s="712">
        <f t="shared" si="26"/>
        <v>473.1364275668073</v>
      </c>
      <c r="F307" s="712">
        <f t="shared" si="19"/>
        <v>473.1364275668073</v>
      </c>
      <c r="G307" s="712">
        <f t="shared" si="23"/>
        <v>3364</v>
      </c>
      <c r="H307" s="606" t="s">
        <v>61</v>
      </c>
      <c r="I307" s="606" t="s">
        <v>30</v>
      </c>
      <c r="J307" s="606">
        <v>40</v>
      </c>
      <c r="K307" s="697" t="s">
        <v>544</v>
      </c>
      <c r="L307" s="606"/>
      <c r="M307" s="606"/>
      <c r="N307" s="606"/>
      <c r="O307" s="606"/>
      <c r="P307" s="738" t="s">
        <v>181</v>
      </c>
      <c r="Q307" s="738" t="s">
        <v>428</v>
      </c>
      <c r="R307" s="738" t="s">
        <v>517</v>
      </c>
      <c r="S307" s="738" t="s">
        <v>228</v>
      </c>
      <c r="T307" s="697"/>
    </row>
    <row r="308" spans="1:20">
      <c r="A308" s="606" t="s">
        <v>69</v>
      </c>
      <c r="B308" s="683" t="s">
        <v>654</v>
      </c>
      <c r="C308" s="683" t="s">
        <v>797</v>
      </c>
      <c r="D308" s="712">
        <f>'[2]总投资-发采购-0411-GLP拆分场外费用(司调)'!G287</f>
        <v>4000</v>
      </c>
      <c r="E308" s="685">
        <f t="shared" si="26"/>
        <v>562.5879043600562</v>
      </c>
      <c r="F308" s="685">
        <f t="shared" si="19"/>
        <v>562.5879043600562</v>
      </c>
      <c r="G308" s="685">
        <f t="shared" si="23"/>
        <v>4000</v>
      </c>
      <c r="H308" s="606" t="s">
        <v>61</v>
      </c>
      <c r="I308" s="606" t="s">
        <v>30</v>
      </c>
      <c r="J308" s="606">
        <v>40</v>
      </c>
      <c r="K308" s="697" t="s">
        <v>544</v>
      </c>
      <c r="L308" s="606"/>
      <c r="M308" s="606"/>
      <c r="N308" s="606"/>
      <c r="O308" s="606"/>
      <c r="P308" s="738" t="s">
        <v>181</v>
      </c>
      <c r="Q308" s="738" t="s">
        <v>428</v>
      </c>
      <c r="R308" s="738" t="s">
        <v>517</v>
      </c>
      <c r="S308" s="738" t="s">
        <v>228</v>
      </c>
      <c r="T308" s="697"/>
    </row>
    <row r="309" spans="1:20" hidden="1">
      <c r="A309" s="751"/>
      <c r="B309" s="687">
        <v>4.2</v>
      </c>
      <c r="C309" s="687" t="s">
        <v>774</v>
      </c>
      <c r="D309" s="689">
        <f>[2]总投资20240410!F355</f>
        <v>4000</v>
      </c>
      <c r="E309" s="752"/>
      <c r="F309" s="752"/>
      <c r="G309" s="752">
        <f t="shared" si="23"/>
        <v>4000</v>
      </c>
      <c r="H309" s="606" t="s">
        <v>61</v>
      </c>
      <c r="I309" s="606"/>
      <c r="J309" s="715"/>
      <c r="K309" s="697" t="s">
        <v>544</v>
      </c>
      <c r="L309" s="606"/>
      <c r="M309" s="606"/>
      <c r="N309" s="606"/>
      <c r="O309" s="606"/>
      <c r="P309" s="738"/>
      <c r="Q309" s="738"/>
      <c r="R309" s="738"/>
      <c r="S309" s="738"/>
      <c r="T309" s="697"/>
    </row>
    <row r="310" spans="1:20" ht="92.4">
      <c r="A310" s="606" t="s">
        <v>72</v>
      </c>
      <c r="B310" s="683" t="s">
        <v>656</v>
      </c>
      <c r="C310" s="683" t="s">
        <v>798</v>
      </c>
      <c r="D310" s="712">
        <f>'[2]总投资-发采购-0411-GLP拆分场外费用(司调)'!G288</f>
        <v>18818.98</v>
      </c>
      <c r="E310" s="685">
        <f>D310/$A$3</f>
        <v>2646.8326300984527</v>
      </c>
      <c r="F310" s="685">
        <f t="shared" ref="F310:F311" si="27">E310</f>
        <v>2646.8326300984527</v>
      </c>
      <c r="G310" s="685">
        <f t="shared" si="23"/>
        <v>18818.98</v>
      </c>
      <c r="H310" s="606" t="s">
        <v>61</v>
      </c>
      <c r="I310" s="585" t="s">
        <v>658</v>
      </c>
      <c r="J310" s="715">
        <v>40</v>
      </c>
      <c r="K310" s="590" t="s">
        <v>31</v>
      </c>
      <c r="L310" s="606" t="s">
        <v>135</v>
      </c>
      <c r="M310" s="606"/>
      <c r="N310" s="606"/>
      <c r="O310" s="606"/>
      <c r="P310" s="738" t="s">
        <v>181</v>
      </c>
      <c r="Q310" s="738" t="s">
        <v>428</v>
      </c>
      <c r="R310" s="738" t="s">
        <v>517</v>
      </c>
      <c r="S310" s="738" t="s">
        <v>228</v>
      </c>
      <c r="T310" s="697"/>
    </row>
    <row r="311" spans="1:20" hidden="1">
      <c r="A311" s="753">
        <v>4.3</v>
      </c>
      <c r="B311" s="690" t="s">
        <v>479</v>
      </c>
      <c r="C311" s="690"/>
      <c r="D311" s="689">
        <f>'[2]总投资-发采购-0411-GLP拆分场外费用(司调)'!G288</f>
        <v>18818.98</v>
      </c>
      <c r="E311" s="752">
        <f>D311/$A$3</f>
        <v>2646.8326300984527</v>
      </c>
      <c r="F311" s="752">
        <f t="shared" si="27"/>
        <v>2646.8326300984527</v>
      </c>
      <c r="G311" s="752">
        <f t="shared" si="23"/>
        <v>18818.98</v>
      </c>
      <c r="H311" s="606"/>
      <c r="I311" s="606"/>
      <c r="J311" s="715"/>
      <c r="K311" s="697"/>
      <c r="L311" s="606"/>
      <c r="M311" s="606"/>
      <c r="N311" s="606"/>
      <c r="O311" s="606"/>
      <c r="P311" s="738"/>
      <c r="Q311" s="738"/>
      <c r="R311" s="738"/>
      <c r="S311" s="698"/>
      <c r="T311" s="697"/>
    </row>
    <row r="312" spans="1:20" hidden="1">
      <c r="A312" s="753" t="s">
        <v>481</v>
      </c>
      <c r="B312" s="690" t="s">
        <v>482</v>
      </c>
      <c r="C312" s="690"/>
      <c r="D312" s="689">
        <f>'[2]总投资-发采购-0411-GLP拆分场外费用(司调)'!G289</f>
        <v>3355</v>
      </c>
      <c r="E312" s="752">
        <f t="shared" ref="E312:E323" si="28">D312/$A$3</f>
        <v>471.87060478199714</v>
      </c>
      <c r="F312" s="752">
        <f t="shared" ref="F312:F323" si="29">E312</f>
        <v>471.87060478199714</v>
      </c>
      <c r="G312" s="752">
        <f t="shared" ref="G312:G323" si="30">D312</f>
        <v>3355</v>
      </c>
      <c r="H312" s="606"/>
      <c r="I312" s="606"/>
      <c r="J312" s="715"/>
      <c r="K312" s="697"/>
      <c r="L312" s="606"/>
      <c r="M312" s="606"/>
      <c r="N312" s="606"/>
      <c r="O312" s="606"/>
      <c r="P312" s="738"/>
      <c r="Q312" s="738"/>
      <c r="R312" s="738"/>
      <c r="S312" s="698"/>
      <c r="T312" s="697"/>
    </row>
    <row r="313" spans="1:20" hidden="1">
      <c r="A313" s="753" t="s">
        <v>483</v>
      </c>
      <c r="B313" s="690" t="s">
        <v>484</v>
      </c>
      <c r="C313" s="690"/>
      <c r="D313" s="689">
        <f>'[2]总投资-发采购-0411-GLP拆分场外费用(司调)'!G290</f>
        <v>920</v>
      </c>
      <c r="E313" s="752">
        <f t="shared" si="28"/>
        <v>129.39521800281292</v>
      </c>
      <c r="F313" s="752">
        <f t="shared" si="29"/>
        <v>129.39521800281292</v>
      </c>
      <c r="G313" s="752">
        <f t="shared" si="30"/>
        <v>920</v>
      </c>
      <c r="H313" s="606"/>
      <c r="I313" s="606"/>
      <c r="J313" s="715"/>
      <c r="K313" s="697"/>
      <c r="L313" s="606"/>
      <c r="M313" s="606"/>
      <c r="N313" s="606"/>
      <c r="O313" s="606"/>
      <c r="P313" s="738"/>
      <c r="Q313" s="738"/>
      <c r="R313" s="738"/>
      <c r="S313" s="698"/>
      <c r="T313" s="697"/>
    </row>
    <row r="314" spans="1:20" hidden="1">
      <c r="A314" s="753" t="s">
        <v>485</v>
      </c>
      <c r="B314" s="690" t="s">
        <v>486</v>
      </c>
      <c r="C314" s="690"/>
      <c r="D314" s="689">
        <f>'[2]总投资-发采购-0411-GLP拆分场外费用(司调)'!G291</f>
        <v>3160</v>
      </c>
      <c r="E314" s="752">
        <f t="shared" si="28"/>
        <v>444.4444444444444</v>
      </c>
      <c r="F314" s="752">
        <f t="shared" si="29"/>
        <v>444.4444444444444</v>
      </c>
      <c r="G314" s="752">
        <f t="shared" si="30"/>
        <v>3160</v>
      </c>
      <c r="H314" s="606"/>
      <c r="I314" s="606"/>
      <c r="J314" s="715"/>
      <c r="K314" s="697"/>
      <c r="L314" s="606"/>
      <c r="M314" s="606"/>
      <c r="N314" s="606"/>
      <c r="O314" s="606"/>
      <c r="P314" s="738"/>
      <c r="Q314" s="738"/>
      <c r="R314" s="738"/>
      <c r="S314" s="698"/>
      <c r="T314" s="697"/>
    </row>
    <row r="315" spans="1:20" hidden="1">
      <c r="A315" s="753" t="s">
        <v>487</v>
      </c>
      <c r="B315" s="690" t="s">
        <v>488</v>
      </c>
      <c r="C315" s="690"/>
      <c r="D315" s="689">
        <f>'[2]总投资-发采购-0411-GLP拆分场外费用(司调)'!G292</f>
        <v>2100</v>
      </c>
      <c r="E315" s="752">
        <f t="shared" si="28"/>
        <v>295.35864978902953</v>
      </c>
      <c r="F315" s="752">
        <f t="shared" si="29"/>
        <v>295.35864978902953</v>
      </c>
      <c r="G315" s="752">
        <f t="shared" si="30"/>
        <v>2100</v>
      </c>
      <c r="H315" s="606"/>
      <c r="I315" s="606"/>
      <c r="J315" s="715"/>
      <c r="K315" s="697"/>
      <c r="L315" s="606"/>
      <c r="M315" s="606"/>
      <c r="N315" s="606"/>
      <c r="O315" s="606"/>
      <c r="P315" s="738"/>
      <c r="Q315" s="738"/>
      <c r="R315" s="738"/>
      <c r="S315" s="698"/>
      <c r="T315" s="697"/>
    </row>
    <row r="316" spans="1:20" hidden="1">
      <c r="A316" s="753" t="s">
        <v>489</v>
      </c>
      <c r="B316" s="690" t="s">
        <v>490</v>
      </c>
      <c r="C316" s="690"/>
      <c r="D316" s="689">
        <f>'[2]总投资-发采购-0411-GLP拆分场外费用(司调)'!G293</f>
        <v>341.9</v>
      </c>
      <c r="E316" s="752">
        <f t="shared" si="28"/>
        <v>48.087201125175802</v>
      </c>
      <c r="F316" s="752">
        <f t="shared" si="29"/>
        <v>48.087201125175802</v>
      </c>
      <c r="G316" s="752">
        <f t="shared" si="30"/>
        <v>341.9</v>
      </c>
      <c r="H316" s="606"/>
      <c r="I316" s="606"/>
      <c r="J316" s="715"/>
      <c r="K316" s="697"/>
      <c r="L316" s="606"/>
      <c r="M316" s="606"/>
      <c r="N316" s="606"/>
      <c r="O316" s="606"/>
      <c r="P316" s="738"/>
      <c r="Q316" s="738"/>
      <c r="R316" s="738"/>
      <c r="S316" s="698"/>
      <c r="T316" s="697"/>
    </row>
    <row r="317" spans="1:20" hidden="1">
      <c r="A317" s="753" t="s">
        <v>491</v>
      </c>
      <c r="B317" s="690" t="s">
        <v>492</v>
      </c>
      <c r="C317" s="690"/>
      <c r="D317" s="689">
        <f>'[2]总投资-发采购-0411-GLP拆分场外费用(司调)'!G294</f>
        <v>656.15</v>
      </c>
      <c r="E317" s="752">
        <f t="shared" si="28"/>
        <v>92.285513361462719</v>
      </c>
      <c r="F317" s="752">
        <f t="shared" si="29"/>
        <v>92.285513361462719</v>
      </c>
      <c r="G317" s="752">
        <f t="shared" si="30"/>
        <v>656.15</v>
      </c>
      <c r="H317" s="606"/>
      <c r="I317" s="606"/>
      <c r="J317" s="715"/>
      <c r="K317" s="697"/>
      <c r="L317" s="606"/>
      <c r="M317" s="606"/>
      <c r="N317" s="606"/>
      <c r="O317" s="606"/>
      <c r="P317" s="738"/>
      <c r="Q317" s="738"/>
      <c r="R317" s="738"/>
      <c r="S317" s="698"/>
      <c r="T317" s="697"/>
    </row>
    <row r="318" spans="1:20" hidden="1">
      <c r="A318" s="753" t="s">
        <v>493</v>
      </c>
      <c r="B318" s="690" t="s">
        <v>494</v>
      </c>
      <c r="C318" s="690"/>
      <c r="D318" s="689">
        <f>'[2]总投资-发采购-0411-GLP拆分场外费用(司调)'!G295</f>
        <v>355.67</v>
      </c>
      <c r="E318" s="752">
        <f t="shared" si="28"/>
        <v>50.023909985935305</v>
      </c>
      <c r="F318" s="752">
        <f t="shared" si="29"/>
        <v>50.023909985935305</v>
      </c>
      <c r="G318" s="752">
        <f t="shared" si="30"/>
        <v>355.67</v>
      </c>
      <c r="H318" s="606"/>
      <c r="I318" s="606"/>
      <c r="J318" s="715"/>
      <c r="K318" s="697"/>
      <c r="L318" s="606"/>
      <c r="M318" s="606"/>
      <c r="N318" s="606"/>
      <c r="O318" s="606"/>
      <c r="P318" s="738"/>
      <c r="Q318" s="738"/>
      <c r="R318" s="738"/>
      <c r="S318" s="698"/>
      <c r="T318" s="697"/>
    </row>
    <row r="319" spans="1:20" hidden="1">
      <c r="A319" s="753" t="s">
        <v>495</v>
      </c>
      <c r="B319" s="690" t="s">
        <v>496</v>
      </c>
      <c r="C319" s="690"/>
      <c r="D319" s="689">
        <f>'[2]总投资-发采购-0411-GLP拆分场外费用(司调)'!G296</f>
        <v>211.46</v>
      </c>
      <c r="E319" s="752">
        <f t="shared" si="28"/>
        <v>29.741209563994374</v>
      </c>
      <c r="F319" s="752">
        <f t="shared" si="29"/>
        <v>29.741209563994374</v>
      </c>
      <c r="G319" s="752">
        <f t="shared" si="30"/>
        <v>211.46</v>
      </c>
      <c r="H319" s="606"/>
      <c r="I319" s="606"/>
      <c r="J319" s="715"/>
      <c r="K319" s="697"/>
      <c r="L319" s="606"/>
      <c r="M319" s="606"/>
      <c r="N319" s="606"/>
      <c r="O319" s="606"/>
      <c r="P319" s="738"/>
      <c r="Q319" s="738"/>
      <c r="R319" s="738"/>
      <c r="S319" s="698"/>
      <c r="T319" s="697"/>
    </row>
    <row r="320" spans="1:20" hidden="1">
      <c r="A320" s="753" t="s">
        <v>497</v>
      </c>
      <c r="B320" s="690" t="s">
        <v>498</v>
      </c>
      <c r="C320" s="690"/>
      <c r="D320" s="689">
        <f>'[2]总投资-发采购-0411-GLP拆分场外费用(司调)'!G297</f>
        <v>33.6</v>
      </c>
      <c r="E320" s="752">
        <f t="shared" si="28"/>
        <v>4.7257383966244726</v>
      </c>
      <c r="F320" s="752">
        <f t="shared" si="29"/>
        <v>4.7257383966244726</v>
      </c>
      <c r="G320" s="752">
        <f t="shared" si="30"/>
        <v>33.6</v>
      </c>
      <c r="H320" s="606"/>
      <c r="I320" s="606"/>
      <c r="J320" s="715"/>
      <c r="K320" s="697"/>
      <c r="L320" s="606"/>
      <c r="M320" s="606"/>
      <c r="N320" s="606"/>
      <c r="O320" s="606"/>
      <c r="P320" s="738"/>
      <c r="Q320" s="738"/>
      <c r="R320" s="738"/>
      <c r="S320" s="698"/>
      <c r="T320" s="697"/>
    </row>
    <row r="321" spans="1:20" hidden="1">
      <c r="A321" s="753" t="s">
        <v>499</v>
      </c>
      <c r="B321" s="690" t="s">
        <v>500</v>
      </c>
      <c r="C321" s="690"/>
      <c r="D321" s="689">
        <f>'[2]总投资-发采购-0411-GLP拆分场外费用(司调)'!G298</f>
        <v>333.3</v>
      </c>
      <c r="E321" s="752">
        <f t="shared" si="28"/>
        <v>46.877637130801688</v>
      </c>
      <c r="F321" s="752">
        <f t="shared" si="29"/>
        <v>46.877637130801688</v>
      </c>
      <c r="G321" s="752">
        <f t="shared" si="30"/>
        <v>333.3</v>
      </c>
      <c r="H321" s="606"/>
      <c r="I321" s="606"/>
      <c r="J321" s="715"/>
      <c r="K321" s="697"/>
      <c r="L321" s="606"/>
      <c r="M321" s="606"/>
      <c r="N321" s="606"/>
      <c r="O321" s="606"/>
      <c r="P321" s="738"/>
      <c r="Q321" s="738"/>
      <c r="R321" s="738"/>
      <c r="S321" s="698"/>
      <c r="T321" s="697"/>
    </row>
    <row r="322" spans="1:20" hidden="1">
      <c r="A322" s="753" t="s">
        <v>501</v>
      </c>
      <c r="B322" s="690" t="s">
        <v>502</v>
      </c>
      <c r="C322" s="690"/>
      <c r="D322" s="689">
        <f>'[2]总投资-发采购-0411-GLP拆分场外费用(司调)'!G299</f>
        <v>7000</v>
      </c>
      <c r="E322" s="752">
        <f t="shared" si="28"/>
        <v>984.52883263009846</v>
      </c>
      <c r="F322" s="752">
        <f t="shared" si="29"/>
        <v>984.52883263009846</v>
      </c>
      <c r="G322" s="752">
        <f t="shared" si="30"/>
        <v>7000</v>
      </c>
      <c r="H322" s="606"/>
      <c r="I322" s="606"/>
      <c r="J322" s="715"/>
      <c r="K322" s="697"/>
      <c r="L322" s="606"/>
      <c r="M322" s="606"/>
      <c r="N322" s="606"/>
      <c r="O322" s="606"/>
      <c r="P322" s="738"/>
      <c r="Q322" s="738"/>
      <c r="R322" s="738"/>
      <c r="S322" s="698"/>
      <c r="T322" s="697"/>
    </row>
    <row r="323" spans="1:20" hidden="1">
      <c r="A323" s="753" t="s">
        <v>503</v>
      </c>
      <c r="B323" s="690" t="s">
        <v>504</v>
      </c>
      <c r="C323" s="690"/>
      <c r="D323" s="689">
        <f>'[2]总投资-发采购-0411-GLP拆分场外费用(司调)'!G300</f>
        <v>351.9</v>
      </c>
      <c r="E323" s="752">
        <f t="shared" si="28"/>
        <v>49.493670886075947</v>
      </c>
      <c r="F323" s="752">
        <f t="shared" si="29"/>
        <v>49.493670886075947</v>
      </c>
      <c r="G323" s="752">
        <f t="shared" si="30"/>
        <v>351.9</v>
      </c>
      <c r="H323" s="606"/>
      <c r="I323" s="606"/>
      <c r="J323" s="715"/>
      <c r="K323" s="697"/>
      <c r="L323" s="606"/>
      <c r="M323" s="606"/>
      <c r="N323" s="606"/>
      <c r="O323" s="606"/>
      <c r="P323" s="738"/>
      <c r="Q323" s="738"/>
      <c r="R323" s="738"/>
      <c r="S323" s="698"/>
      <c r="T323" s="697"/>
    </row>
    <row r="324" spans="1:20">
      <c r="A324" s="1075" t="s">
        <v>104</v>
      </c>
      <c r="B324" s="1076"/>
      <c r="C324" s="1077"/>
      <c r="D324" s="713">
        <f>SUM(D244,D262,D263,D275,D307,D308,D310)</f>
        <v>78732.785499999998</v>
      </c>
      <c r="E324" s="713">
        <f>SUM(E244,E262,E263,E275,E308,E307,E310)</f>
        <v>11073.528199718705</v>
      </c>
      <c r="F324" s="713">
        <f>SUM(F244,F262,F263,F275,F308,F310)</f>
        <v>10600.391772151896</v>
      </c>
      <c r="G324" s="713">
        <f>SUM(G244,G262,G263,G275,G308,G310)</f>
        <v>75368.785499999998</v>
      </c>
      <c r="H324" s="606"/>
      <c r="I324" s="606"/>
      <c r="J324" s="715"/>
      <c r="K324" s="697"/>
      <c r="L324" s="606"/>
      <c r="M324" s="606"/>
      <c r="N324" s="606"/>
      <c r="O324" s="606"/>
      <c r="P324" s="738"/>
      <c r="Q324" s="738"/>
      <c r="R324" s="738"/>
      <c r="S324" s="698"/>
      <c r="T324" s="697"/>
    </row>
    <row r="325" spans="1:20">
      <c r="A325" s="678" t="s">
        <v>83</v>
      </c>
      <c r="B325" s="756" t="s">
        <v>84</v>
      </c>
      <c r="C325" s="680"/>
      <c r="D325" s="681"/>
      <c r="E325" s="682"/>
      <c r="F325" s="681"/>
      <c r="G325" s="681"/>
      <c r="H325" s="680"/>
      <c r="I325" s="680"/>
      <c r="J325" s="680"/>
      <c r="K325" s="680"/>
      <c r="L325" s="680"/>
      <c r="M325" s="680"/>
      <c r="N325" s="680"/>
      <c r="O325" s="680"/>
      <c r="P325" s="680"/>
      <c r="Q325" s="680"/>
      <c r="R325" s="705"/>
      <c r="S325" s="680"/>
      <c r="T325" s="706"/>
    </row>
    <row r="326" spans="1:20" ht="26.4">
      <c r="A326" s="749" t="s">
        <v>85</v>
      </c>
      <c r="B326" s="799" t="s">
        <v>86</v>
      </c>
      <c r="C326" s="799" t="s">
        <v>659</v>
      </c>
      <c r="D326" s="792">
        <f>'[2]总投资-发采购-0411-GLP拆分场外费用(司调)'!G333</f>
        <v>1000</v>
      </c>
      <c r="E326" s="792">
        <f>D326/$A$3</f>
        <v>140.64697609001405</v>
      </c>
      <c r="F326" s="792">
        <f>E326</f>
        <v>140.64697609001405</v>
      </c>
      <c r="G326" s="792">
        <f>D326</f>
        <v>1000</v>
      </c>
      <c r="H326" s="754" t="s">
        <v>88</v>
      </c>
      <c r="I326" s="585" t="s">
        <v>89</v>
      </c>
      <c r="J326" s="916">
        <v>51</v>
      </c>
      <c r="K326" s="754" t="s">
        <v>31</v>
      </c>
      <c r="L326" s="749"/>
      <c r="M326" s="749" t="s">
        <v>794</v>
      </c>
      <c r="N326" s="749"/>
      <c r="O326" s="749"/>
      <c r="P326" s="755">
        <v>2024.9</v>
      </c>
      <c r="Q326" s="755" t="s">
        <v>738</v>
      </c>
      <c r="R326" s="755" t="s">
        <v>739</v>
      </c>
      <c r="S326" s="802">
        <v>2028.12</v>
      </c>
      <c r="T326" s="754"/>
    </row>
    <row r="327" spans="1:20" ht="26.4">
      <c r="A327" s="749" t="s">
        <v>511</v>
      </c>
      <c r="B327" s="799" t="s">
        <v>660</v>
      </c>
      <c r="C327" s="799" t="s">
        <v>661</v>
      </c>
      <c r="D327" s="792">
        <f>'[2]总投资-发采购-0411-GLP拆分场外费用(司调)'!G334</f>
        <v>1000</v>
      </c>
      <c r="E327" s="792">
        <f>D327/$A$3</f>
        <v>140.64697609001405</v>
      </c>
      <c r="F327" s="792">
        <f>E327</f>
        <v>140.64697609001405</v>
      </c>
      <c r="G327" s="792">
        <f>D327</f>
        <v>1000</v>
      </c>
      <c r="H327" s="754" t="s">
        <v>88</v>
      </c>
      <c r="I327" s="585" t="s">
        <v>89</v>
      </c>
      <c r="J327" s="916">
        <v>51</v>
      </c>
      <c r="K327" s="754" t="s">
        <v>31</v>
      </c>
      <c r="L327" s="749"/>
      <c r="M327" s="749" t="s">
        <v>794</v>
      </c>
      <c r="N327" s="749"/>
      <c r="O327" s="749"/>
      <c r="P327" s="755">
        <v>2024.9</v>
      </c>
      <c r="Q327" s="755" t="s">
        <v>738</v>
      </c>
      <c r="R327" s="755" t="s">
        <v>739</v>
      </c>
      <c r="S327" s="802">
        <v>2028.12</v>
      </c>
      <c r="T327" s="754"/>
    </row>
    <row r="328" spans="1:20">
      <c r="A328" s="606" t="s">
        <v>514</v>
      </c>
      <c r="B328" s="683" t="s">
        <v>799</v>
      </c>
      <c r="C328" s="683" t="s">
        <v>800</v>
      </c>
      <c r="D328" s="712">
        <f>'[2]总投资-发采购-0411-GLP拆分场外费用(司调)'!G331</f>
        <v>761</v>
      </c>
      <c r="E328" s="712">
        <f>D328/$A$3</f>
        <v>107.0323488045007</v>
      </c>
      <c r="F328" s="712">
        <f>E328</f>
        <v>107.0323488045007</v>
      </c>
      <c r="G328" s="712">
        <f>D328</f>
        <v>761</v>
      </c>
      <c r="H328" s="697" t="s">
        <v>88</v>
      </c>
      <c r="I328" s="585" t="s">
        <v>89</v>
      </c>
      <c r="J328" s="715">
        <v>42</v>
      </c>
      <c r="K328" s="697" t="s">
        <v>31</v>
      </c>
      <c r="L328" s="606"/>
      <c r="M328" s="606"/>
      <c r="N328" s="606"/>
      <c r="O328" s="606"/>
      <c r="P328" s="738" t="s">
        <v>181</v>
      </c>
      <c r="Q328" s="738" t="s">
        <v>428</v>
      </c>
      <c r="R328" s="738" t="s">
        <v>517</v>
      </c>
      <c r="S328" s="698">
        <v>2028.12</v>
      </c>
      <c r="T328" s="697"/>
    </row>
    <row r="329" spans="1:20">
      <c r="A329" s="606" t="s">
        <v>91</v>
      </c>
      <c r="B329" s="683" t="s">
        <v>801</v>
      </c>
      <c r="C329" s="683" t="s">
        <v>802</v>
      </c>
      <c r="D329" s="712">
        <f>'[2]总投资-发采购-0411-GLP拆分场外费用(司调)'!G332</f>
        <v>116</v>
      </c>
      <c r="E329" s="712">
        <f t="shared" ref="E329:E331" si="31">D329/$A$3</f>
        <v>16.31504922644163</v>
      </c>
      <c r="F329" s="712">
        <f t="shared" ref="F329:F331" si="32">E329</f>
        <v>16.31504922644163</v>
      </c>
      <c r="G329" s="712">
        <f t="shared" ref="G329:G331" si="33">D329</f>
        <v>116</v>
      </c>
      <c r="H329" s="697" t="s">
        <v>88</v>
      </c>
      <c r="I329" s="585" t="s">
        <v>97</v>
      </c>
      <c r="J329" s="715">
        <v>42</v>
      </c>
      <c r="K329" s="590" t="s">
        <v>544</v>
      </c>
      <c r="L329" s="606"/>
      <c r="M329" s="606"/>
      <c r="N329" s="606"/>
      <c r="O329" s="606"/>
      <c r="P329" s="738" t="s">
        <v>181</v>
      </c>
      <c r="Q329" s="738" t="s">
        <v>428</v>
      </c>
      <c r="R329" s="738" t="s">
        <v>517</v>
      </c>
      <c r="S329" s="698">
        <v>2028.12</v>
      </c>
      <c r="T329" s="697"/>
    </row>
    <row r="330" spans="1:20">
      <c r="A330" s="606" t="s">
        <v>94</v>
      </c>
      <c r="B330" s="683" t="s">
        <v>803</v>
      </c>
      <c r="C330" s="683" t="s">
        <v>804</v>
      </c>
      <c r="D330" s="712">
        <f>'[2]总投资-发采购-0411-GLP拆分场外费用(司调)'!G335</f>
        <v>1000</v>
      </c>
      <c r="E330" s="712">
        <f t="shared" si="31"/>
        <v>140.64697609001405</v>
      </c>
      <c r="F330" s="712">
        <f t="shared" si="32"/>
        <v>140.64697609001405</v>
      </c>
      <c r="G330" s="712">
        <f t="shared" si="33"/>
        <v>1000</v>
      </c>
      <c r="H330" s="697" t="s">
        <v>88</v>
      </c>
      <c r="I330" s="585" t="s">
        <v>89</v>
      </c>
      <c r="J330" s="715">
        <v>42</v>
      </c>
      <c r="K330" s="697" t="s">
        <v>31</v>
      </c>
      <c r="L330" s="606"/>
      <c r="M330" s="697"/>
      <c r="N330" s="606"/>
      <c r="O330" s="606"/>
      <c r="P330" s="738" t="s">
        <v>181</v>
      </c>
      <c r="Q330" s="738" t="s">
        <v>428</v>
      </c>
      <c r="R330" s="738" t="s">
        <v>517</v>
      </c>
      <c r="S330" s="698">
        <v>2028.12</v>
      </c>
      <c r="T330" s="697"/>
    </row>
    <row r="331" spans="1:20">
      <c r="A331" s="1075" t="s">
        <v>104</v>
      </c>
      <c r="B331" s="1076"/>
      <c r="C331" s="1077"/>
      <c r="D331" s="713">
        <f>SUM(D326:D330)</f>
        <v>3877</v>
      </c>
      <c r="E331" s="713">
        <f t="shared" si="31"/>
        <v>545.28832630098452</v>
      </c>
      <c r="F331" s="713">
        <f t="shared" si="32"/>
        <v>545.28832630098452</v>
      </c>
      <c r="G331" s="713">
        <f t="shared" si="33"/>
        <v>3877</v>
      </c>
      <c r="H331" s="606"/>
      <c r="I331" s="606"/>
      <c r="J331" s="715"/>
      <c r="K331" s="697"/>
      <c r="L331" s="606"/>
      <c r="M331" s="606"/>
      <c r="N331" s="606"/>
      <c r="O331" s="606"/>
      <c r="P331" s="606"/>
      <c r="Q331" s="606"/>
      <c r="R331" s="738"/>
      <c r="S331" s="742"/>
      <c r="T331" s="697"/>
    </row>
    <row r="332" spans="1:20">
      <c r="A332" s="606"/>
      <c r="B332" s="758"/>
      <c r="C332" s="758"/>
      <c r="D332" s="712"/>
      <c r="E332" s="712"/>
      <c r="F332" s="712"/>
      <c r="G332" s="712"/>
      <c r="H332" s="606"/>
      <c r="I332" s="606"/>
      <c r="J332" s="715"/>
      <c r="K332" s="697"/>
      <c r="L332" s="606"/>
      <c r="M332" s="606"/>
      <c r="N332" s="606"/>
      <c r="O332" s="606"/>
      <c r="P332" s="606"/>
      <c r="Q332" s="606"/>
      <c r="R332" s="738"/>
      <c r="S332" s="742"/>
      <c r="T332" s="697"/>
    </row>
    <row r="333" spans="1:20">
      <c r="A333" s="1104" t="s">
        <v>671</v>
      </c>
      <c r="B333" s="1083"/>
      <c r="C333" s="1084"/>
      <c r="D333" s="759">
        <f>SUM(D211,D242,D324,D331)</f>
        <v>285045.69573175302</v>
      </c>
      <c r="E333" s="759">
        <f>D333/A3</f>
        <v>40090.815152145289</v>
      </c>
      <c r="F333" s="759">
        <f>E333</f>
        <v>40090.815152145289</v>
      </c>
      <c r="G333" s="759">
        <f>D333</f>
        <v>285045.69573175302</v>
      </c>
      <c r="H333" s="706"/>
      <c r="I333" s="706"/>
      <c r="J333" s="764"/>
      <c r="K333" s="765"/>
      <c r="L333" s="706"/>
      <c r="M333" s="706"/>
      <c r="N333" s="706"/>
      <c r="O333" s="706"/>
      <c r="P333" s="706"/>
      <c r="Q333" s="706"/>
      <c r="R333" s="767"/>
      <c r="S333" s="768"/>
      <c r="T333" s="765"/>
    </row>
    <row r="335" spans="1:20">
      <c r="C335" s="760" t="s">
        <v>524</v>
      </c>
      <c r="D335" s="664">
        <f>SUM(D7,D30,D44,D74,D117,D157,D210,D213,D244,D262)</f>
        <v>242748.76023175303</v>
      </c>
      <c r="E335" s="664">
        <f>D335/7.11</f>
        <v>34141.879076195924</v>
      </c>
    </row>
    <row r="336" spans="1:20">
      <c r="C336" s="760" t="s">
        <v>525</v>
      </c>
      <c r="D336" s="664">
        <f>D263+D275+D307+D308+D310</f>
        <v>38419.935499999992</v>
      </c>
      <c r="E336" s="664">
        <f t="shared" ref="E336:E338" si="34">D336/7.11</f>
        <v>5403.6477496483813</v>
      </c>
    </row>
    <row r="337" spans="3:5">
      <c r="C337" s="760" t="s">
        <v>526</v>
      </c>
      <c r="D337" s="664">
        <f>D331</f>
        <v>3877</v>
      </c>
      <c r="E337" s="664">
        <f t="shared" si="34"/>
        <v>545.28832630098452</v>
      </c>
    </row>
    <row r="338" spans="3:5">
      <c r="C338" s="760"/>
      <c r="D338" s="761">
        <f>SUM(D335:D337)</f>
        <v>285045.69573175302</v>
      </c>
      <c r="E338" s="761">
        <f t="shared" si="34"/>
        <v>40090.815152145289</v>
      </c>
    </row>
    <row r="339" spans="3:5">
      <c r="C339" s="760"/>
      <c r="D339" s="664"/>
    </row>
    <row r="341" spans="3:5">
      <c r="C341" s="762" t="s">
        <v>805</v>
      </c>
    </row>
    <row r="342" spans="3:5">
      <c r="C342" s="760" t="s">
        <v>786</v>
      </c>
      <c r="D342" s="664">
        <f>E244</f>
        <v>2856.9409282700417</v>
      </c>
    </row>
    <row r="343" spans="3:5">
      <c r="C343" s="760" t="s">
        <v>787</v>
      </c>
      <c r="D343" s="664">
        <f>E262</f>
        <v>2812.939521800281</v>
      </c>
    </row>
    <row r="344" spans="3:5">
      <c r="C344" s="760" t="s">
        <v>788</v>
      </c>
      <c r="D344" s="664">
        <f>E263</f>
        <v>761.39880450070314</v>
      </c>
    </row>
    <row r="345" spans="3:5">
      <c r="C345" s="760" t="s">
        <v>789</v>
      </c>
      <c r="D345" s="664">
        <f>E326</f>
        <v>140.64697609001405</v>
      </c>
    </row>
    <row r="346" spans="3:5">
      <c r="C346" s="760" t="s">
        <v>790</v>
      </c>
      <c r="D346" s="664">
        <f>E327</f>
        <v>140.64697609001405</v>
      </c>
    </row>
    <row r="347" spans="3:5">
      <c r="C347" s="760"/>
      <c r="D347" s="761">
        <f>SUM(D342:D346)</f>
        <v>6712.5732067510544</v>
      </c>
    </row>
    <row r="348" spans="3:5">
      <c r="C348" s="760"/>
    </row>
    <row r="349" spans="3:5">
      <c r="C349" s="760"/>
    </row>
    <row r="350" spans="3:5">
      <c r="C350" s="760"/>
    </row>
    <row r="351" spans="3:5">
      <c r="C351" s="760"/>
    </row>
    <row r="352" spans="3:5">
      <c r="C352" s="760"/>
    </row>
  </sheetData>
  <mergeCells count="24">
    <mergeCell ref="F4:G5"/>
    <mergeCell ref="N4:O5"/>
    <mergeCell ref="A324:C324"/>
    <mergeCell ref="A331:C331"/>
    <mergeCell ref="A333:C333"/>
    <mergeCell ref="A4:A5"/>
    <mergeCell ref="B4:B5"/>
    <mergeCell ref="C4:C5"/>
    <mergeCell ref="A1:T1"/>
    <mergeCell ref="D4:E4"/>
    <mergeCell ref="A211:C211"/>
    <mergeCell ref="B212:T212"/>
    <mergeCell ref="A242:C242"/>
    <mergeCell ref="H4:H5"/>
    <mergeCell ref="I4:I5"/>
    <mergeCell ref="J4:J5"/>
    <mergeCell ref="K4:K5"/>
    <mergeCell ref="L4:L5"/>
    <mergeCell ref="M4:M5"/>
    <mergeCell ref="P4:P5"/>
    <mergeCell ref="Q4:Q5"/>
    <mergeCell ref="R4:R5"/>
    <mergeCell ref="S4:S5"/>
    <mergeCell ref="T4:T5"/>
  </mergeCells>
  <conditionalFormatting sqref="A210:B210 B213:B241 A214:A241">
    <cfRule type="expression" dxfId="2" priority="1">
      <formula>AND(COUNTIF(#REF!,A210)+COUNTIF(#REF!,A210)&gt;1,NOT(ISBLANK(A210)))</formula>
    </cfRule>
  </conditionalFormatting>
  <printOptions horizontalCentered="1"/>
  <pageMargins left="0.25" right="0.25" top="0.75" bottom="0.75" header="0.3" footer="0.3"/>
  <pageSetup paperSize="9" scale="56"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36"/>
  <sheetViews>
    <sheetView zoomScale="89" zoomScaleNormal="89" workbookViewId="0">
      <pane xSplit="1" ySplit="3" topLeftCell="B22" activePane="bottomRight" state="frozen"/>
      <selection pane="topRight"/>
      <selection pane="bottomLeft"/>
      <selection pane="bottomRight" sqref="A1:AH1"/>
    </sheetView>
  </sheetViews>
  <sheetFormatPr defaultColWidth="8.88671875" defaultRowHeight="11.4"/>
  <cols>
    <col min="1" max="1" width="4.33203125" style="804" customWidth="1"/>
    <col min="2" max="2" width="11.44140625" style="804" customWidth="1"/>
    <col min="3" max="3" width="29.5546875" style="805" customWidth="1"/>
    <col min="4" max="4" width="11.5546875" style="805" hidden="1" customWidth="1"/>
    <col min="5" max="5" width="11" style="804" customWidth="1"/>
    <col min="6" max="6" width="9.109375" style="804" hidden="1" customWidth="1"/>
    <col min="7" max="7" width="8" style="806" hidden="1" customWidth="1"/>
    <col min="8" max="8" width="8.88671875" style="806" hidden="1" customWidth="1"/>
    <col min="9" max="9" width="7.77734375" style="806" customWidth="1"/>
    <col min="10" max="10" width="10.109375" style="804" customWidth="1"/>
    <col min="11" max="11" width="4.5546875" style="804" customWidth="1"/>
    <col min="12" max="12" width="7.5546875" style="804" customWidth="1"/>
    <col min="13" max="13" width="8.109375" style="804" customWidth="1"/>
    <col min="14" max="14" width="5.33203125" style="804" customWidth="1"/>
    <col min="15" max="15" width="4.109375" style="804" customWidth="1"/>
    <col min="16" max="16" width="6.77734375" style="807" customWidth="1"/>
    <col min="17" max="17" width="4.109375" style="808" customWidth="1"/>
    <col min="18" max="18" width="4.109375" style="809" customWidth="1"/>
    <col min="19" max="34" width="4.109375" style="810" customWidth="1"/>
    <col min="35" max="35" width="4.109375" style="811" customWidth="1"/>
    <col min="36" max="38" width="4.109375" style="810" customWidth="1"/>
    <col min="39" max="47" width="3.109375" style="201" customWidth="1"/>
    <col min="48" max="252" width="9" style="201" customWidth="1"/>
    <col min="253" max="16384" width="8.88671875" style="201"/>
  </cols>
  <sheetData>
    <row r="1" spans="1:47" s="803" customFormat="1" ht="18">
      <c r="A1" s="1120" t="s">
        <v>806</v>
      </c>
      <c r="B1" s="1120"/>
      <c r="C1" s="1120"/>
      <c r="D1" s="1120"/>
      <c r="E1" s="1120"/>
      <c r="F1" s="1120"/>
      <c r="G1" s="1120"/>
      <c r="H1" s="1120"/>
      <c r="I1" s="1120"/>
      <c r="J1" s="1120"/>
      <c r="K1" s="1120"/>
      <c r="L1" s="1120"/>
      <c r="M1" s="1120"/>
      <c r="N1" s="1120"/>
      <c r="O1" s="1120"/>
      <c r="P1" s="1120"/>
      <c r="Q1" s="1120"/>
      <c r="R1" s="1120"/>
      <c r="S1" s="1120"/>
      <c r="T1" s="1120"/>
      <c r="U1" s="1120"/>
      <c r="V1" s="1120"/>
      <c r="W1" s="1120"/>
      <c r="X1" s="1120"/>
      <c r="Y1" s="1120"/>
      <c r="Z1" s="1120"/>
      <c r="AA1" s="1120"/>
      <c r="AB1" s="1120"/>
      <c r="AC1" s="1120"/>
      <c r="AD1" s="1120"/>
      <c r="AE1" s="1120"/>
      <c r="AF1" s="1120"/>
      <c r="AG1" s="1120"/>
      <c r="AH1" s="1120"/>
      <c r="AI1" s="910"/>
      <c r="AJ1" s="910"/>
      <c r="AK1" s="910"/>
      <c r="AL1" s="910"/>
      <c r="AM1" s="911"/>
      <c r="AN1" s="911"/>
      <c r="AO1" s="911"/>
      <c r="AP1" s="911"/>
      <c r="AQ1" s="911"/>
      <c r="AR1" s="911"/>
      <c r="AS1" s="911"/>
      <c r="AT1" s="911"/>
      <c r="AU1" s="911"/>
    </row>
    <row r="2" spans="1:47" s="530" customFormat="1" ht="15.6">
      <c r="A2" s="1132" t="s">
        <v>807</v>
      </c>
      <c r="B2" s="1133" t="s">
        <v>808</v>
      </c>
      <c r="C2" s="1133" t="s">
        <v>809</v>
      </c>
      <c r="D2" s="1133" t="s">
        <v>810</v>
      </c>
      <c r="E2" s="1121" t="s">
        <v>811</v>
      </c>
      <c r="F2" s="1121"/>
      <c r="G2" s="1122" t="s">
        <v>812</v>
      </c>
      <c r="H2" s="1123"/>
      <c r="I2" s="1134" t="s">
        <v>813</v>
      </c>
      <c r="J2" s="1132" t="s">
        <v>814</v>
      </c>
      <c r="K2" s="1132" t="s">
        <v>116</v>
      </c>
      <c r="L2" s="1133" t="s">
        <v>815</v>
      </c>
      <c r="M2" s="1132" t="s">
        <v>816</v>
      </c>
      <c r="N2" s="1132" t="s">
        <v>817</v>
      </c>
      <c r="O2" s="1132" t="s">
        <v>118</v>
      </c>
      <c r="P2" s="1136" t="s">
        <v>818</v>
      </c>
      <c r="Q2" s="1124">
        <v>2024</v>
      </c>
      <c r="R2" s="1124"/>
      <c r="S2" s="1125">
        <v>2025</v>
      </c>
      <c r="T2" s="1125"/>
      <c r="U2" s="1125"/>
      <c r="V2" s="1125"/>
      <c r="W2" s="1125">
        <v>2026</v>
      </c>
      <c r="X2" s="1125"/>
      <c r="Y2" s="1125"/>
      <c r="Z2" s="1125"/>
      <c r="AA2" s="1125">
        <v>2027</v>
      </c>
      <c r="AB2" s="1125"/>
      <c r="AC2" s="1125"/>
      <c r="AD2" s="1125"/>
      <c r="AE2" s="1125">
        <v>2028</v>
      </c>
      <c r="AF2" s="1125"/>
      <c r="AG2" s="1125"/>
      <c r="AH2" s="1125"/>
      <c r="AI2" s="912"/>
      <c r="AJ2" s="912"/>
      <c r="AK2" s="912"/>
      <c r="AL2" s="912"/>
      <c r="AM2" s="201"/>
      <c r="AN2" s="201"/>
      <c r="AO2" s="201"/>
      <c r="AP2" s="201"/>
      <c r="AQ2" s="201"/>
      <c r="AR2" s="201"/>
      <c r="AS2" s="201"/>
      <c r="AT2" s="201"/>
      <c r="AU2" s="201"/>
    </row>
    <row r="3" spans="1:47" s="530" customFormat="1" ht="24">
      <c r="A3" s="1133"/>
      <c r="B3" s="1133"/>
      <c r="C3" s="1133"/>
      <c r="D3" s="1133"/>
      <c r="E3" s="813" t="s">
        <v>819</v>
      </c>
      <c r="F3" s="813" t="s">
        <v>820</v>
      </c>
      <c r="G3" s="812" t="s">
        <v>821</v>
      </c>
      <c r="H3" s="812" t="s">
        <v>822</v>
      </c>
      <c r="I3" s="1135"/>
      <c r="J3" s="1133"/>
      <c r="K3" s="1133"/>
      <c r="L3" s="1133"/>
      <c r="M3" s="1133"/>
      <c r="N3" s="1133"/>
      <c r="O3" s="1133"/>
      <c r="P3" s="1137"/>
      <c r="Q3" s="876" t="s">
        <v>823</v>
      </c>
      <c r="R3" s="878" t="s">
        <v>824</v>
      </c>
      <c r="S3" s="877" t="s">
        <v>825</v>
      </c>
      <c r="T3" s="877" t="s">
        <v>826</v>
      </c>
      <c r="U3" s="877" t="s">
        <v>823</v>
      </c>
      <c r="V3" s="877" t="s">
        <v>824</v>
      </c>
      <c r="W3" s="877" t="s">
        <v>825</v>
      </c>
      <c r="X3" s="877" t="s">
        <v>826</v>
      </c>
      <c r="Y3" s="877" t="s">
        <v>823</v>
      </c>
      <c r="Z3" s="877" t="s">
        <v>824</v>
      </c>
      <c r="AA3" s="877" t="s">
        <v>825</v>
      </c>
      <c r="AB3" s="877" t="s">
        <v>826</v>
      </c>
      <c r="AC3" s="877" t="s">
        <v>823</v>
      </c>
      <c r="AD3" s="877" t="s">
        <v>824</v>
      </c>
      <c r="AE3" s="877" t="s">
        <v>825</v>
      </c>
      <c r="AF3" s="877" t="s">
        <v>826</v>
      </c>
      <c r="AG3" s="877" t="s">
        <v>823</v>
      </c>
      <c r="AH3" s="877" t="s">
        <v>824</v>
      </c>
      <c r="AI3" s="810"/>
      <c r="AJ3" s="810"/>
      <c r="AK3" s="810"/>
      <c r="AL3" s="810"/>
      <c r="AM3" s="201"/>
      <c r="AN3" s="201"/>
      <c r="AO3" s="201"/>
      <c r="AP3" s="201"/>
      <c r="AQ3" s="201"/>
      <c r="AR3" s="201"/>
      <c r="AS3" s="201"/>
      <c r="AT3" s="201"/>
      <c r="AU3" s="201"/>
    </row>
    <row r="4" spans="1:47" s="530" customFormat="1" ht="12" customHeight="1">
      <c r="A4" s="814"/>
      <c r="B4" s="814" t="s">
        <v>827</v>
      </c>
      <c r="C4" s="815" t="s">
        <v>129</v>
      </c>
      <c r="D4" s="814"/>
      <c r="E4" s="816"/>
      <c r="F4" s="816"/>
      <c r="G4" s="817"/>
      <c r="H4" s="817"/>
      <c r="I4" s="847"/>
      <c r="J4" s="814"/>
      <c r="K4" s="814"/>
      <c r="L4" s="814"/>
      <c r="M4" s="814"/>
      <c r="N4" s="814"/>
      <c r="O4" s="814"/>
      <c r="P4" s="848"/>
      <c r="Q4" s="879"/>
      <c r="R4" s="865"/>
      <c r="S4" s="880"/>
      <c r="T4" s="880"/>
      <c r="U4" s="880"/>
      <c r="V4" s="880"/>
      <c r="W4" s="880"/>
      <c r="X4" s="880"/>
      <c r="Y4" s="880"/>
      <c r="Z4" s="880"/>
      <c r="AA4" s="880"/>
      <c r="AB4" s="880"/>
      <c r="AC4" s="880"/>
      <c r="AD4" s="880"/>
      <c r="AE4" s="880"/>
      <c r="AF4" s="880"/>
      <c r="AG4" s="880"/>
      <c r="AH4" s="880"/>
      <c r="AI4" s="810"/>
      <c r="AJ4" s="810"/>
      <c r="AK4" s="810"/>
      <c r="AL4" s="810"/>
      <c r="AM4" s="201"/>
      <c r="AN4" s="201"/>
      <c r="AO4" s="201"/>
      <c r="AP4" s="201"/>
      <c r="AQ4" s="201"/>
      <c r="AR4" s="201"/>
      <c r="AS4" s="201"/>
      <c r="AT4" s="201"/>
      <c r="AU4" s="201"/>
    </row>
    <row r="5" spans="1:47" s="531" customFormat="1" ht="12">
      <c r="A5" s="818">
        <v>1</v>
      </c>
      <c r="B5" s="818" t="s">
        <v>130</v>
      </c>
      <c r="C5" s="819" t="s">
        <v>828</v>
      </c>
      <c r="D5" s="820" t="s">
        <v>829</v>
      </c>
      <c r="E5" s="821">
        <f>采购计划0530_中文!D7</f>
        <v>6876.7533184221402</v>
      </c>
      <c r="F5" s="821">
        <f>E5/7.3</f>
        <v>942.02100252358082</v>
      </c>
      <c r="G5" s="822">
        <v>1</v>
      </c>
      <c r="H5" s="822"/>
      <c r="I5" s="849" t="s">
        <v>335</v>
      </c>
      <c r="J5" s="820" t="s">
        <v>30</v>
      </c>
      <c r="K5" s="850" t="s">
        <v>336</v>
      </c>
      <c r="L5" s="851" t="s">
        <v>830</v>
      </c>
      <c r="M5" s="851" t="s">
        <v>830</v>
      </c>
      <c r="N5" s="852">
        <v>30</v>
      </c>
      <c r="O5" s="853"/>
      <c r="P5" s="854">
        <v>18</v>
      </c>
      <c r="Q5" s="881"/>
      <c r="R5" s="881"/>
      <c r="S5" s="882" t="s">
        <v>831</v>
      </c>
      <c r="T5" s="883"/>
      <c r="U5" s="883"/>
      <c r="V5" s="883"/>
      <c r="W5" s="883"/>
      <c r="X5" s="883"/>
      <c r="Y5" s="883"/>
      <c r="Z5" s="885"/>
      <c r="AA5" s="905"/>
      <c r="AB5" s="885" t="s">
        <v>832</v>
      </c>
      <c r="AC5" s="888"/>
      <c r="AD5" s="888"/>
      <c r="AE5" s="888"/>
      <c r="AF5" s="888"/>
      <c r="AG5" s="888"/>
      <c r="AH5" s="888"/>
      <c r="AI5" s="913"/>
      <c r="AJ5" s="913"/>
      <c r="AK5" s="913"/>
      <c r="AL5" s="913"/>
    </row>
    <row r="6" spans="1:47" s="531" customFormat="1" ht="12">
      <c r="A6" s="818">
        <v>2</v>
      </c>
      <c r="B6" s="818" t="s">
        <v>177</v>
      </c>
      <c r="C6" s="823" t="s">
        <v>833</v>
      </c>
      <c r="D6" s="820" t="s">
        <v>829</v>
      </c>
      <c r="E6" s="821">
        <f>采购计划0530_中文!D30</f>
        <v>13277.6976990773</v>
      </c>
      <c r="F6" s="821">
        <f>E6/7.3</f>
        <v>1818.8626985037397</v>
      </c>
      <c r="G6" s="822">
        <v>1</v>
      </c>
      <c r="H6" s="822"/>
      <c r="I6" s="849" t="s">
        <v>335</v>
      </c>
      <c r="J6" s="820" t="s">
        <v>30</v>
      </c>
      <c r="K6" s="850" t="s">
        <v>180</v>
      </c>
      <c r="L6" s="851" t="s">
        <v>834</v>
      </c>
      <c r="M6" s="851" t="s">
        <v>835</v>
      </c>
      <c r="N6" s="852">
        <v>24</v>
      </c>
      <c r="O6" s="853"/>
      <c r="P6" s="854">
        <f>采购计划0530_中文!J30</f>
        <v>18</v>
      </c>
      <c r="Q6" s="881"/>
      <c r="R6" s="881"/>
      <c r="S6" s="882" t="s">
        <v>831</v>
      </c>
      <c r="T6" s="883"/>
      <c r="U6" s="883"/>
      <c r="V6" s="883"/>
      <c r="W6" s="883"/>
      <c r="X6" s="883"/>
      <c r="Y6" s="883"/>
      <c r="Z6" s="885"/>
      <c r="AA6" s="905"/>
      <c r="AB6" s="885" t="s">
        <v>832</v>
      </c>
      <c r="AC6" s="888"/>
      <c r="AD6" s="888"/>
      <c r="AE6" s="888"/>
      <c r="AF6" s="888"/>
      <c r="AG6" s="888"/>
      <c r="AH6" s="888"/>
      <c r="AI6" s="913"/>
      <c r="AJ6" s="913"/>
      <c r="AK6" s="913"/>
      <c r="AL6" s="913"/>
    </row>
    <row r="7" spans="1:47" ht="12">
      <c r="A7" s="818">
        <v>3</v>
      </c>
      <c r="B7" s="818" t="s">
        <v>26</v>
      </c>
      <c r="C7" s="823" t="s">
        <v>836</v>
      </c>
      <c r="D7" s="820" t="s">
        <v>829</v>
      </c>
      <c r="E7" s="824">
        <f>采购计划0530_中文!D44</f>
        <v>25772.963395329403</v>
      </c>
      <c r="F7" s="821">
        <f t="shared" ref="F7:F19" si="0">E7/7.3</f>
        <v>3530.5429308670418</v>
      </c>
      <c r="G7" s="822">
        <v>1</v>
      </c>
      <c r="H7" s="825"/>
      <c r="I7" s="855" t="s">
        <v>335</v>
      </c>
      <c r="J7" s="856" t="s">
        <v>30</v>
      </c>
      <c r="K7" s="857" t="s">
        <v>180</v>
      </c>
      <c r="L7" s="851" t="s">
        <v>835</v>
      </c>
      <c r="M7" s="851" t="s">
        <v>837</v>
      </c>
      <c r="N7" s="852">
        <v>12</v>
      </c>
      <c r="O7" s="858"/>
      <c r="P7" s="859">
        <v>18</v>
      </c>
      <c r="Q7" s="881"/>
      <c r="R7" s="881"/>
      <c r="S7" s="882" t="s">
        <v>831</v>
      </c>
      <c r="T7" s="883"/>
      <c r="U7" s="883"/>
      <c r="V7" s="883"/>
      <c r="W7" s="883"/>
      <c r="X7" s="883"/>
      <c r="Y7" s="883"/>
      <c r="Z7" s="885"/>
      <c r="AA7" s="905"/>
      <c r="AB7" s="885" t="s">
        <v>832</v>
      </c>
      <c r="AC7" s="888"/>
      <c r="AD7" s="888"/>
      <c r="AE7" s="888"/>
      <c r="AF7" s="888"/>
      <c r="AG7" s="888"/>
      <c r="AH7" s="888"/>
      <c r="AI7" s="810"/>
    </row>
    <row r="8" spans="1:47" ht="12">
      <c r="A8" s="818">
        <v>4</v>
      </c>
      <c r="B8" s="818" t="s">
        <v>35</v>
      </c>
      <c r="C8" s="823" t="s">
        <v>838</v>
      </c>
      <c r="D8" s="820" t="s">
        <v>829</v>
      </c>
      <c r="E8" s="824">
        <f>采购计划0530_中文!D74</f>
        <v>54208.013061394893</v>
      </c>
      <c r="F8" s="821">
        <f t="shared" si="0"/>
        <v>7425.7552138897117</v>
      </c>
      <c r="G8" s="822">
        <v>1</v>
      </c>
      <c r="H8" s="822"/>
      <c r="I8" s="855" t="s">
        <v>335</v>
      </c>
      <c r="J8" s="820" t="s">
        <v>79</v>
      </c>
      <c r="K8" s="850" t="s">
        <v>180</v>
      </c>
      <c r="L8" s="851" t="s">
        <v>835</v>
      </c>
      <c r="M8" s="851" t="s">
        <v>837</v>
      </c>
      <c r="N8" s="852">
        <v>24</v>
      </c>
      <c r="O8" s="858"/>
      <c r="P8" s="859">
        <v>18</v>
      </c>
      <c r="Q8" s="881"/>
      <c r="R8" s="881"/>
      <c r="S8" s="884"/>
      <c r="T8" s="885"/>
      <c r="U8" s="885"/>
      <c r="V8" s="885"/>
      <c r="W8" s="885"/>
      <c r="X8" s="885"/>
      <c r="Y8" s="885"/>
      <c r="Z8" s="885"/>
      <c r="AA8" s="882" t="s">
        <v>831</v>
      </c>
      <c r="AB8" s="883"/>
      <c r="AC8" s="883"/>
      <c r="AD8" s="883"/>
      <c r="AE8" s="883"/>
      <c r="AF8" s="883"/>
      <c r="AG8" s="883"/>
      <c r="AH8" s="885"/>
      <c r="AI8" s="810"/>
    </row>
    <row r="9" spans="1:47" s="531" customFormat="1" ht="12">
      <c r="A9" s="818">
        <v>5</v>
      </c>
      <c r="B9" s="818" t="s">
        <v>38</v>
      </c>
      <c r="C9" s="823" t="s">
        <v>839</v>
      </c>
      <c r="D9" s="820" t="s">
        <v>829</v>
      </c>
      <c r="E9" s="821">
        <f>采购计划0530_中文!D117</f>
        <v>47558.926001233798</v>
      </c>
      <c r="F9" s="821">
        <f t="shared" si="0"/>
        <v>6514.921370032027</v>
      </c>
      <c r="G9" s="822">
        <v>1</v>
      </c>
      <c r="H9" s="822"/>
      <c r="I9" s="849" t="s">
        <v>335</v>
      </c>
      <c r="J9" s="820" t="s">
        <v>79</v>
      </c>
      <c r="K9" s="850" t="s">
        <v>180</v>
      </c>
      <c r="L9" s="851" t="s">
        <v>835</v>
      </c>
      <c r="M9" s="851" t="s">
        <v>837</v>
      </c>
      <c r="N9" s="852">
        <v>24</v>
      </c>
      <c r="O9" s="853"/>
      <c r="P9" s="854">
        <v>18</v>
      </c>
      <c r="Q9" s="881"/>
      <c r="R9" s="881"/>
      <c r="S9" s="884"/>
      <c r="T9" s="885"/>
      <c r="U9" s="885"/>
      <c r="V9" s="885"/>
      <c r="W9" s="885"/>
      <c r="X9" s="885"/>
      <c r="Y9" s="885"/>
      <c r="Z9" s="885"/>
      <c r="AA9" s="882" t="s">
        <v>831</v>
      </c>
      <c r="AB9" s="883"/>
      <c r="AC9" s="883"/>
      <c r="AD9" s="883"/>
      <c r="AE9" s="883"/>
      <c r="AF9" s="883"/>
      <c r="AG9" s="883"/>
      <c r="AH9" s="885"/>
      <c r="AI9" s="913"/>
      <c r="AJ9" s="913"/>
      <c r="AK9" s="913"/>
      <c r="AL9" s="913"/>
    </row>
    <row r="10" spans="1:47" s="531" customFormat="1" ht="12">
      <c r="A10" s="818">
        <v>6</v>
      </c>
      <c r="B10" s="818" t="s">
        <v>41</v>
      </c>
      <c r="C10" s="823" t="s">
        <v>840</v>
      </c>
      <c r="D10" s="820" t="s">
        <v>829</v>
      </c>
      <c r="E10" s="821">
        <f>采购计划0530_中文!D157</f>
        <v>23398.367016560886</v>
      </c>
      <c r="F10" s="821">
        <f t="shared" si="0"/>
        <v>3205.255755693272</v>
      </c>
      <c r="G10" s="825">
        <v>1</v>
      </c>
      <c r="H10" s="825"/>
      <c r="I10" s="855" t="s">
        <v>335</v>
      </c>
      <c r="J10" s="856" t="s">
        <v>30</v>
      </c>
      <c r="K10" s="850" t="s">
        <v>180</v>
      </c>
      <c r="L10" s="851" t="s">
        <v>835</v>
      </c>
      <c r="M10" s="851" t="s">
        <v>837</v>
      </c>
      <c r="N10" s="852">
        <v>30</v>
      </c>
      <c r="O10" s="853"/>
      <c r="P10" s="854">
        <v>18</v>
      </c>
      <c r="Q10" s="881"/>
      <c r="R10" s="881"/>
      <c r="S10" s="884"/>
      <c r="T10" s="885"/>
      <c r="U10" s="885"/>
      <c r="V10" s="885"/>
      <c r="W10" s="882" t="s">
        <v>831</v>
      </c>
      <c r="X10" s="883"/>
      <c r="Y10" s="883"/>
      <c r="Z10" s="883"/>
      <c r="AA10" s="883"/>
      <c r="AB10" s="883"/>
      <c r="AC10" s="883"/>
      <c r="AD10" s="885"/>
      <c r="AE10" s="888"/>
      <c r="AF10" s="888"/>
      <c r="AG10" s="888"/>
      <c r="AH10" s="888"/>
      <c r="AI10" s="913"/>
      <c r="AJ10" s="913"/>
      <c r="AK10" s="913"/>
      <c r="AL10" s="913"/>
    </row>
    <row r="11" spans="1:47" s="531" customFormat="1" ht="12">
      <c r="A11" s="818">
        <v>7</v>
      </c>
      <c r="B11" s="818" t="s">
        <v>44</v>
      </c>
      <c r="C11" s="823" t="s">
        <v>333</v>
      </c>
      <c r="D11" s="820" t="s">
        <v>829</v>
      </c>
      <c r="E11" s="821">
        <f>采购计划0530_中文!D210</f>
        <v>3292.1051520000001</v>
      </c>
      <c r="F11" s="821">
        <f t="shared" si="0"/>
        <v>450.97330849315068</v>
      </c>
      <c r="G11" s="822">
        <v>1</v>
      </c>
      <c r="H11" s="822"/>
      <c r="I11" s="849" t="s">
        <v>335</v>
      </c>
      <c r="J11" s="820" t="s">
        <v>30</v>
      </c>
      <c r="K11" s="850" t="s">
        <v>336</v>
      </c>
      <c r="L11" s="851" t="s">
        <v>835</v>
      </c>
      <c r="M11" s="851" t="s">
        <v>837</v>
      </c>
      <c r="N11" s="852">
        <v>24</v>
      </c>
      <c r="O11" s="858"/>
      <c r="P11" s="859">
        <v>12</v>
      </c>
      <c r="Q11" s="881"/>
      <c r="R11" s="881"/>
      <c r="S11" s="882" t="s">
        <v>831</v>
      </c>
      <c r="T11" s="883"/>
      <c r="U11" s="883"/>
      <c r="V11" s="883"/>
      <c r="W11" s="883"/>
      <c r="X11" s="883"/>
      <c r="Y11" s="883"/>
      <c r="Z11" s="885"/>
      <c r="AA11" s="905"/>
      <c r="AB11" s="885" t="s">
        <v>832</v>
      </c>
      <c r="AC11" s="888"/>
      <c r="AD11" s="888"/>
      <c r="AE11" s="888"/>
      <c r="AF11" s="888"/>
      <c r="AG11" s="888"/>
      <c r="AH11" s="888"/>
      <c r="AI11" s="913"/>
      <c r="AJ11" s="913"/>
      <c r="AK11" s="913"/>
      <c r="AL11" s="913"/>
    </row>
    <row r="12" spans="1:47" ht="12">
      <c r="A12" s="818"/>
      <c r="B12" s="1126" t="s">
        <v>841</v>
      </c>
      <c r="C12" s="1127"/>
      <c r="D12" s="826"/>
      <c r="E12" s="827">
        <f>SUM(E5:E11)</f>
        <v>174384.82564401845</v>
      </c>
      <c r="F12" s="821"/>
      <c r="G12" s="822"/>
      <c r="H12" s="822"/>
      <c r="I12" s="860"/>
      <c r="J12" s="818"/>
      <c r="K12" s="850"/>
      <c r="L12" s="842"/>
      <c r="M12" s="851"/>
      <c r="N12" s="852"/>
      <c r="O12" s="853"/>
      <c r="P12" s="854"/>
      <c r="Q12" s="881"/>
      <c r="R12" s="881"/>
      <c r="S12" s="884"/>
      <c r="T12" s="886"/>
      <c r="U12" s="885"/>
      <c r="V12" s="885"/>
      <c r="W12" s="885"/>
      <c r="X12" s="885"/>
      <c r="Y12" s="885"/>
      <c r="Z12" s="885"/>
      <c r="AA12" s="905"/>
      <c r="AB12" s="886" t="s">
        <v>842</v>
      </c>
      <c r="AC12" s="888"/>
      <c r="AD12" s="888"/>
      <c r="AE12" s="888"/>
      <c r="AF12" s="888"/>
      <c r="AG12" s="888"/>
      <c r="AH12" s="888"/>
      <c r="AI12" s="810"/>
    </row>
    <row r="13" spans="1:47" s="532" customFormat="1" ht="12">
      <c r="A13" s="828"/>
      <c r="B13" s="814" t="s">
        <v>843</v>
      </c>
      <c r="C13" s="829" t="s">
        <v>342</v>
      </c>
      <c r="D13" s="830"/>
      <c r="E13" s="831"/>
      <c r="F13" s="832"/>
      <c r="G13" s="833"/>
      <c r="H13" s="833"/>
      <c r="I13" s="861"/>
      <c r="J13" s="862"/>
      <c r="K13" s="863"/>
      <c r="L13" s="864"/>
      <c r="M13" s="864"/>
      <c r="N13" s="865"/>
      <c r="O13" s="866"/>
      <c r="P13" s="867"/>
      <c r="Q13" s="879"/>
      <c r="R13" s="865"/>
      <c r="S13" s="879"/>
      <c r="T13" s="879"/>
      <c r="U13" s="879"/>
      <c r="V13" s="879"/>
      <c r="W13" s="879"/>
      <c r="X13" s="879"/>
      <c r="Y13" s="906"/>
      <c r="Z13" s="906"/>
      <c r="AA13" s="907"/>
      <c r="AB13" s="908"/>
      <c r="AC13" s="908"/>
      <c r="AD13" s="908"/>
      <c r="AE13" s="908"/>
      <c r="AF13" s="908"/>
      <c r="AG13" s="908"/>
      <c r="AH13" s="907"/>
      <c r="AI13" s="808"/>
      <c r="AJ13" s="808"/>
      <c r="AK13" s="808"/>
      <c r="AL13" s="808"/>
    </row>
    <row r="14" spans="1:47" s="531" customFormat="1" ht="12">
      <c r="A14" s="818">
        <v>8</v>
      </c>
      <c r="B14" s="818" t="s">
        <v>50</v>
      </c>
      <c r="C14" s="823" t="s">
        <v>342</v>
      </c>
      <c r="D14" s="820" t="s">
        <v>829</v>
      </c>
      <c r="E14" s="824">
        <f>采购计划0530_中文!D213</f>
        <v>28051.084587734578</v>
      </c>
      <c r="F14" s="821">
        <f>E14/7.3</f>
        <v>3842.6143270869288</v>
      </c>
      <c r="G14" s="825">
        <v>1</v>
      </c>
      <c r="H14" s="825"/>
      <c r="I14" s="855" t="s">
        <v>335</v>
      </c>
      <c r="J14" s="856" t="s">
        <v>30</v>
      </c>
      <c r="K14" s="857" t="s">
        <v>180</v>
      </c>
      <c r="L14" s="851" t="s">
        <v>844</v>
      </c>
      <c r="M14" s="851" t="s">
        <v>845</v>
      </c>
      <c r="N14" s="852">
        <v>30</v>
      </c>
      <c r="O14" s="858"/>
      <c r="P14" s="859">
        <v>18</v>
      </c>
      <c r="Q14" s="842"/>
      <c r="R14" s="852"/>
      <c r="S14" s="887" t="s">
        <v>831</v>
      </c>
      <c r="T14" s="883"/>
      <c r="U14" s="883"/>
      <c r="V14" s="883"/>
      <c r="W14" s="883"/>
      <c r="X14" s="883"/>
      <c r="Y14" s="883"/>
      <c r="Z14" s="885"/>
      <c r="AA14" s="886"/>
      <c r="AB14" s="905"/>
      <c r="AC14" s="905"/>
      <c r="AD14" s="905"/>
      <c r="AE14" s="905"/>
      <c r="AF14" s="905"/>
      <c r="AG14" s="905"/>
      <c r="AH14" s="905"/>
      <c r="AI14" s="914"/>
      <c r="AJ14" s="915"/>
      <c r="AK14" s="913"/>
      <c r="AL14" s="913"/>
    </row>
    <row r="15" spans="1:47" s="531" customFormat="1" ht="12">
      <c r="A15" s="1126" t="s">
        <v>841</v>
      </c>
      <c r="B15" s="1127"/>
      <c r="C15" s="1127"/>
      <c r="D15" s="820"/>
      <c r="E15" s="834">
        <f>SUM(E14)</f>
        <v>28051.084587734578</v>
      </c>
      <c r="F15" s="821"/>
      <c r="G15" s="825"/>
      <c r="H15" s="825"/>
      <c r="I15" s="855"/>
      <c r="J15" s="856"/>
      <c r="K15" s="857"/>
      <c r="L15" s="851"/>
      <c r="M15" s="851"/>
      <c r="N15" s="852"/>
      <c r="O15" s="858"/>
      <c r="P15" s="859"/>
      <c r="Q15" s="842"/>
      <c r="R15" s="852"/>
      <c r="S15" s="888"/>
      <c r="T15" s="881"/>
      <c r="U15" s="885"/>
      <c r="V15" s="885"/>
      <c r="W15" s="885"/>
      <c r="X15" s="885"/>
      <c r="Y15" s="885"/>
      <c r="Z15" s="885"/>
      <c r="AA15" s="886"/>
      <c r="AB15" s="905"/>
      <c r="AC15" s="905"/>
      <c r="AD15" s="905"/>
      <c r="AE15" s="905"/>
      <c r="AF15" s="905"/>
      <c r="AG15" s="905"/>
      <c r="AH15" s="905"/>
      <c r="AI15" s="914"/>
      <c r="AJ15" s="915"/>
      <c r="AK15" s="913"/>
      <c r="AL15" s="913"/>
    </row>
    <row r="16" spans="1:47" s="531" customFormat="1" ht="12">
      <c r="A16" s="828"/>
      <c r="B16" s="814" t="s">
        <v>846</v>
      </c>
      <c r="C16" s="829" t="s">
        <v>365</v>
      </c>
      <c r="D16" s="830"/>
      <c r="E16" s="831"/>
      <c r="F16" s="832"/>
      <c r="G16" s="833"/>
      <c r="H16" s="833"/>
      <c r="I16" s="861"/>
      <c r="J16" s="862"/>
      <c r="K16" s="863"/>
      <c r="L16" s="864"/>
      <c r="M16" s="864"/>
      <c r="N16" s="865"/>
      <c r="O16" s="866"/>
      <c r="P16" s="867"/>
      <c r="Q16" s="879"/>
      <c r="R16" s="865"/>
      <c r="S16" s="879"/>
      <c r="T16" s="879"/>
      <c r="U16" s="879"/>
      <c r="V16" s="879"/>
      <c r="W16" s="879"/>
      <c r="X16" s="879"/>
      <c r="Y16" s="906"/>
      <c r="Z16" s="906"/>
      <c r="AA16" s="907"/>
      <c r="AB16" s="908"/>
      <c r="AC16" s="908"/>
      <c r="AD16" s="908"/>
      <c r="AE16" s="908"/>
      <c r="AF16" s="908"/>
      <c r="AG16" s="908"/>
      <c r="AH16" s="907"/>
      <c r="AI16" s="914"/>
      <c r="AJ16" s="915"/>
      <c r="AK16" s="913"/>
      <c r="AL16" s="913"/>
    </row>
    <row r="17" spans="1:38" ht="12">
      <c r="A17" s="835">
        <v>9</v>
      </c>
      <c r="B17" s="835" t="s">
        <v>366</v>
      </c>
      <c r="C17" s="836" t="s">
        <v>735</v>
      </c>
      <c r="D17" s="837" t="s">
        <v>829</v>
      </c>
      <c r="E17" s="838">
        <f>采购计划0530_中文!D244</f>
        <v>20312.849999999999</v>
      </c>
      <c r="F17" s="839">
        <f t="shared" si="0"/>
        <v>2782.5821917808216</v>
      </c>
      <c r="G17" s="840">
        <v>1</v>
      </c>
      <c r="H17" s="841"/>
      <c r="I17" s="868" t="s">
        <v>335</v>
      </c>
      <c r="J17" s="869" t="s">
        <v>30</v>
      </c>
      <c r="K17" s="870" t="s">
        <v>180</v>
      </c>
      <c r="L17" s="871" t="s">
        <v>845</v>
      </c>
      <c r="M17" s="871" t="s">
        <v>847</v>
      </c>
      <c r="N17" s="872">
        <v>24</v>
      </c>
      <c r="O17" s="873"/>
      <c r="P17" s="874">
        <v>12</v>
      </c>
      <c r="Q17" s="881"/>
      <c r="R17" s="881"/>
      <c r="S17" s="887" t="s">
        <v>831</v>
      </c>
      <c r="T17" s="889"/>
      <c r="U17" s="889"/>
      <c r="V17" s="890"/>
      <c r="W17" s="891"/>
      <c r="X17" s="891"/>
      <c r="Y17" s="909"/>
      <c r="Z17" s="902"/>
      <c r="AA17" s="902"/>
      <c r="AB17" s="893"/>
      <c r="AC17" s="893"/>
      <c r="AD17" s="893"/>
      <c r="AE17" s="893"/>
      <c r="AF17" s="893"/>
      <c r="AG17" s="893"/>
      <c r="AH17" s="893"/>
      <c r="AI17" s="915"/>
    </row>
    <row r="18" spans="1:38" ht="12">
      <c r="A18" s="835">
        <v>10</v>
      </c>
      <c r="B18" s="835" t="s">
        <v>392</v>
      </c>
      <c r="C18" s="836" t="s">
        <v>393</v>
      </c>
      <c r="D18" s="837" t="s">
        <v>829</v>
      </c>
      <c r="E18" s="838">
        <f>采购计划0530_中文!D262</f>
        <v>20000</v>
      </c>
      <c r="F18" s="839">
        <f t="shared" si="0"/>
        <v>2739.7260273972602</v>
      </c>
      <c r="G18" s="840">
        <v>1</v>
      </c>
      <c r="H18" s="840"/>
      <c r="I18" s="868" t="s">
        <v>427</v>
      </c>
      <c r="J18" s="835" t="s">
        <v>30</v>
      </c>
      <c r="K18" s="870" t="s">
        <v>180</v>
      </c>
      <c r="L18" s="871" t="s">
        <v>830</v>
      </c>
      <c r="M18" s="871" t="s">
        <v>830</v>
      </c>
      <c r="N18" s="872">
        <v>24</v>
      </c>
      <c r="O18" s="873"/>
      <c r="P18" s="874">
        <v>12</v>
      </c>
      <c r="Q18" s="881"/>
      <c r="R18" s="881"/>
      <c r="S18" s="887" t="s">
        <v>831</v>
      </c>
      <c r="T18" s="883"/>
      <c r="U18" s="883"/>
      <c r="V18" s="883"/>
      <c r="W18" s="892" t="s">
        <v>848</v>
      </c>
      <c r="X18" s="893"/>
      <c r="Y18" s="893"/>
      <c r="Z18" s="893"/>
      <c r="AA18" s="909"/>
      <c r="AB18" s="909"/>
      <c r="AC18" s="909"/>
      <c r="AD18" s="909"/>
      <c r="AE18" s="909"/>
      <c r="AF18" s="909"/>
      <c r="AG18" s="909"/>
      <c r="AH18" s="909"/>
      <c r="AI18" s="810"/>
    </row>
    <row r="19" spans="1:38" s="532" customFormat="1" ht="12">
      <c r="A19" s="835">
        <v>11</v>
      </c>
      <c r="B19" s="835" t="s">
        <v>58</v>
      </c>
      <c r="C19" s="836" t="s">
        <v>849</v>
      </c>
      <c r="D19" s="837" t="s">
        <v>829</v>
      </c>
      <c r="E19" s="838">
        <f>采购计划0530_中文!D263</f>
        <v>5413.5454999999993</v>
      </c>
      <c r="F19" s="839">
        <f t="shared" si="0"/>
        <v>741.58157534246573</v>
      </c>
      <c r="G19" s="840">
        <v>1</v>
      </c>
      <c r="H19" s="840"/>
      <c r="I19" s="875" t="s">
        <v>427</v>
      </c>
      <c r="J19" s="835" t="s">
        <v>30</v>
      </c>
      <c r="K19" s="870" t="s">
        <v>180</v>
      </c>
      <c r="L19" s="871" t="s">
        <v>835</v>
      </c>
      <c r="M19" s="871" t="s">
        <v>837</v>
      </c>
      <c r="N19" s="872">
        <v>24</v>
      </c>
      <c r="O19" s="873"/>
      <c r="P19" s="874">
        <v>12</v>
      </c>
      <c r="Q19" s="881"/>
      <c r="R19" s="881"/>
      <c r="S19" s="887" t="s">
        <v>831</v>
      </c>
      <c r="T19" s="894"/>
      <c r="U19" s="895"/>
      <c r="V19" s="895"/>
      <c r="W19" s="896" t="s">
        <v>850</v>
      </c>
      <c r="X19" s="893"/>
      <c r="Y19" s="893"/>
      <c r="Z19" s="893"/>
      <c r="AA19" s="893"/>
      <c r="AB19" s="893"/>
      <c r="AC19" s="893"/>
      <c r="AD19" s="893"/>
      <c r="AE19" s="901"/>
      <c r="AF19" s="901"/>
      <c r="AG19" s="901"/>
      <c r="AH19" s="901"/>
      <c r="AI19" s="808"/>
      <c r="AJ19" s="808"/>
      <c r="AK19" s="808"/>
      <c r="AL19" s="808"/>
    </row>
    <row r="20" spans="1:38" ht="12">
      <c r="A20" s="818">
        <v>12</v>
      </c>
      <c r="B20" s="818" t="s">
        <v>63</v>
      </c>
      <c r="C20" s="823" t="s">
        <v>851</v>
      </c>
      <c r="D20" s="820" t="s">
        <v>829</v>
      </c>
      <c r="E20" s="824">
        <f>采购计划0530_中文!D275</f>
        <v>6823.4099999999989</v>
      </c>
      <c r="F20" s="821">
        <f t="shared" ref="F20:F32" si="1">E20/7.3</f>
        <v>934.71369863013683</v>
      </c>
      <c r="G20" s="822">
        <v>1</v>
      </c>
      <c r="H20" s="822"/>
      <c r="I20" s="860" t="s">
        <v>427</v>
      </c>
      <c r="J20" s="818" t="s">
        <v>30</v>
      </c>
      <c r="K20" s="850" t="s">
        <v>180</v>
      </c>
      <c r="L20" s="851" t="s">
        <v>837</v>
      </c>
      <c r="M20" s="851" t="s">
        <v>852</v>
      </c>
      <c r="N20" s="852">
        <v>24</v>
      </c>
      <c r="O20" s="858"/>
      <c r="P20" s="859">
        <v>42</v>
      </c>
      <c r="Q20" s="881"/>
      <c r="R20" s="881"/>
      <c r="S20" s="897"/>
      <c r="T20" s="898" t="s">
        <v>831</v>
      </c>
      <c r="U20" s="890"/>
      <c r="V20" s="895"/>
      <c r="W20" s="895"/>
      <c r="X20" s="883"/>
      <c r="Y20" s="883"/>
      <c r="Z20" s="883"/>
      <c r="AA20" s="883"/>
      <c r="AB20" s="883"/>
      <c r="AC20" s="883"/>
      <c r="AD20" s="883"/>
      <c r="AE20" s="883"/>
      <c r="AF20" s="889"/>
      <c r="AG20" s="889"/>
      <c r="AH20" s="889"/>
      <c r="AI20" s="810"/>
    </row>
    <row r="21" spans="1:38" s="532" customFormat="1" ht="12">
      <c r="A21" s="818">
        <v>13</v>
      </c>
      <c r="B21" s="818" t="s">
        <v>66</v>
      </c>
      <c r="C21" s="823" t="s">
        <v>473</v>
      </c>
      <c r="D21" s="820" t="s">
        <v>829</v>
      </c>
      <c r="E21" s="824">
        <f>采购计划0530_中文!D307</f>
        <v>3364</v>
      </c>
      <c r="F21" s="821">
        <f t="shared" si="1"/>
        <v>460.82191780821921</v>
      </c>
      <c r="G21" s="822">
        <v>1</v>
      </c>
      <c r="H21" s="822"/>
      <c r="I21" s="860" t="s">
        <v>427</v>
      </c>
      <c r="J21" s="818" t="s">
        <v>30</v>
      </c>
      <c r="K21" s="850" t="s">
        <v>180</v>
      </c>
      <c r="L21" s="851" t="s">
        <v>837</v>
      </c>
      <c r="M21" s="851" t="s">
        <v>852</v>
      </c>
      <c r="N21" s="852">
        <v>24</v>
      </c>
      <c r="O21" s="858"/>
      <c r="P21" s="859">
        <v>48</v>
      </c>
      <c r="Q21" s="881"/>
      <c r="R21" s="881"/>
      <c r="S21" s="887" t="s">
        <v>831</v>
      </c>
      <c r="T21" s="890"/>
      <c r="U21" s="895"/>
      <c r="V21" s="895"/>
      <c r="W21" s="895"/>
      <c r="X21" s="883"/>
      <c r="Y21" s="883"/>
      <c r="Z21" s="883"/>
      <c r="AA21" s="883"/>
      <c r="AB21" s="883"/>
      <c r="AC21" s="883"/>
      <c r="AD21" s="883"/>
      <c r="AE21" s="883"/>
      <c r="AF21" s="894"/>
      <c r="AG21" s="894"/>
      <c r="AH21" s="894"/>
      <c r="AI21" s="808"/>
      <c r="AJ21" s="808"/>
      <c r="AK21" s="808"/>
      <c r="AL21" s="808"/>
    </row>
    <row r="22" spans="1:38" s="532" customFormat="1" ht="12">
      <c r="A22" s="818">
        <v>14</v>
      </c>
      <c r="B22" s="818" t="s">
        <v>69</v>
      </c>
      <c r="C22" s="823" t="s">
        <v>476</v>
      </c>
      <c r="D22" s="820" t="s">
        <v>829</v>
      </c>
      <c r="E22" s="824">
        <f>采购计划0530_中文!D308</f>
        <v>4000</v>
      </c>
      <c r="F22" s="821">
        <f t="shared" si="1"/>
        <v>547.94520547945206</v>
      </c>
      <c r="G22" s="822">
        <v>1</v>
      </c>
      <c r="H22" s="822"/>
      <c r="I22" s="860" t="s">
        <v>427</v>
      </c>
      <c r="J22" s="818" t="s">
        <v>30</v>
      </c>
      <c r="K22" s="850" t="s">
        <v>180</v>
      </c>
      <c r="L22" s="851" t="s">
        <v>852</v>
      </c>
      <c r="M22" s="851" t="s">
        <v>853</v>
      </c>
      <c r="N22" s="852">
        <v>24</v>
      </c>
      <c r="O22" s="858"/>
      <c r="P22" s="859">
        <v>48</v>
      </c>
      <c r="Q22" s="881"/>
      <c r="R22" s="881"/>
      <c r="S22" s="887" t="s">
        <v>831</v>
      </c>
      <c r="T22" s="890"/>
      <c r="U22" s="895"/>
      <c r="V22" s="895"/>
      <c r="W22" s="895"/>
      <c r="X22" s="883"/>
      <c r="Y22" s="883"/>
      <c r="Z22" s="883"/>
      <c r="AA22" s="883"/>
      <c r="AB22" s="883"/>
      <c r="AC22" s="883"/>
      <c r="AD22" s="883"/>
      <c r="AE22" s="883"/>
      <c r="AF22" s="894"/>
      <c r="AG22" s="894"/>
      <c r="AH22" s="894"/>
      <c r="AI22" s="808"/>
      <c r="AJ22" s="808"/>
      <c r="AK22" s="808"/>
      <c r="AL22" s="808"/>
    </row>
    <row r="23" spans="1:38" s="532" customFormat="1" ht="12">
      <c r="A23" s="818">
        <v>15</v>
      </c>
      <c r="B23" s="818" t="s">
        <v>72</v>
      </c>
      <c r="C23" s="823" t="s">
        <v>479</v>
      </c>
      <c r="D23" s="820" t="s">
        <v>829</v>
      </c>
      <c r="E23" s="824">
        <f>采购计划0530_中文!D310</f>
        <v>18818.98</v>
      </c>
      <c r="F23" s="821">
        <f t="shared" si="1"/>
        <v>2577.9424657534246</v>
      </c>
      <c r="G23" s="822">
        <v>1</v>
      </c>
      <c r="H23" s="822"/>
      <c r="I23" s="860" t="s">
        <v>427</v>
      </c>
      <c r="J23" s="818" t="s">
        <v>79</v>
      </c>
      <c r="K23" s="850" t="s">
        <v>180</v>
      </c>
      <c r="L23" s="851" t="s">
        <v>830</v>
      </c>
      <c r="M23" s="851" t="s">
        <v>830</v>
      </c>
      <c r="N23" s="852">
        <v>36</v>
      </c>
      <c r="O23" s="858"/>
      <c r="P23" s="859">
        <v>42</v>
      </c>
      <c r="Q23" s="881"/>
      <c r="R23" s="881"/>
      <c r="S23" s="899"/>
      <c r="T23" s="898" t="s">
        <v>831</v>
      </c>
      <c r="U23" s="890"/>
      <c r="V23" s="895"/>
      <c r="W23" s="895"/>
      <c r="X23" s="883"/>
      <c r="Y23" s="883"/>
      <c r="Z23" s="883"/>
      <c r="AA23" s="883"/>
      <c r="AB23" s="883"/>
      <c r="AC23" s="883"/>
      <c r="AD23" s="883"/>
      <c r="AE23" s="883"/>
      <c r="AF23" s="889"/>
      <c r="AG23" s="889"/>
      <c r="AH23" s="889"/>
      <c r="AI23" s="808"/>
      <c r="AJ23" s="808"/>
      <c r="AK23" s="808"/>
      <c r="AL23" s="915"/>
    </row>
    <row r="24" spans="1:38" s="532" customFormat="1" ht="12">
      <c r="A24" s="1126" t="s">
        <v>841</v>
      </c>
      <c r="B24" s="1127"/>
      <c r="C24" s="1127"/>
      <c r="D24" s="820"/>
      <c r="E24" s="834">
        <f>SUM(E17:E23)</f>
        <v>78732.785499999998</v>
      </c>
      <c r="F24" s="821"/>
      <c r="G24" s="822"/>
      <c r="H24" s="822"/>
      <c r="I24" s="860"/>
      <c r="J24" s="818"/>
      <c r="K24" s="850"/>
      <c r="L24" s="851"/>
      <c r="M24" s="851"/>
      <c r="N24" s="852"/>
      <c r="O24" s="858"/>
      <c r="P24" s="859"/>
      <c r="Q24" s="842"/>
      <c r="R24" s="900"/>
      <c r="S24" s="881"/>
      <c r="T24" s="881"/>
      <c r="U24" s="886"/>
      <c r="V24" s="885"/>
      <c r="W24" s="885"/>
      <c r="X24" s="885"/>
      <c r="Y24" s="885"/>
      <c r="Z24" s="885"/>
      <c r="AA24" s="885"/>
      <c r="AB24" s="886"/>
      <c r="AC24" s="842"/>
      <c r="AD24" s="842"/>
      <c r="AE24" s="842"/>
      <c r="AF24" s="842"/>
      <c r="AG24" s="842"/>
      <c r="AH24" s="842"/>
      <c r="AI24" s="808"/>
      <c r="AJ24" s="808"/>
      <c r="AK24" s="808"/>
      <c r="AL24" s="915"/>
    </row>
    <row r="25" spans="1:38" s="532" customFormat="1" ht="12">
      <c r="A25" s="828"/>
      <c r="B25" s="814" t="s">
        <v>854</v>
      </c>
      <c r="C25" s="829" t="s">
        <v>507</v>
      </c>
      <c r="D25" s="830"/>
      <c r="E25" s="831"/>
      <c r="F25" s="832"/>
      <c r="G25" s="833"/>
      <c r="H25" s="833"/>
      <c r="I25" s="861"/>
      <c r="J25" s="862"/>
      <c r="K25" s="863"/>
      <c r="L25" s="864"/>
      <c r="M25" s="864"/>
      <c r="N25" s="865"/>
      <c r="O25" s="866"/>
      <c r="P25" s="867"/>
      <c r="Q25" s="879"/>
      <c r="R25" s="865"/>
      <c r="S25" s="879"/>
      <c r="T25" s="879"/>
      <c r="U25" s="879"/>
      <c r="V25" s="879"/>
      <c r="W25" s="879"/>
      <c r="X25" s="879"/>
      <c r="Y25" s="906"/>
      <c r="Z25" s="906"/>
      <c r="AA25" s="907"/>
      <c r="AB25" s="908"/>
      <c r="AC25" s="908"/>
      <c r="AD25" s="908"/>
      <c r="AE25" s="908"/>
      <c r="AF25" s="908"/>
      <c r="AG25" s="908"/>
      <c r="AH25" s="907"/>
      <c r="AI25" s="808"/>
      <c r="AJ25" s="808"/>
      <c r="AK25" s="808"/>
      <c r="AL25" s="915"/>
    </row>
    <row r="26" spans="1:38" s="532" customFormat="1" ht="12">
      <c r="A26" s="835">
        <v>16</v>
      </c>
      <c r="B26" s="835" t="s">
        <v>855</v>
      </c>
      <c r="C26" s="836" t="s">
        <v>856</v>
      </c>
      <c r="D26" s="837"/>
      <c r="E26" s="838">
        <v>1000</v>
      </c>
      <c r="F26" s="839"/>
      <c r="G26" s="840"/>
      <c r="H26" s="840"/>
      <c r="I26" s="875" t="s">
        <v>510</v>
      </c>
      <c r="J26" s="835" t="s">
        <v>89</v>
      </c>
      <c r="K26" s="870" t="s">
        <v>180</v>
      </c>
      <c r="L26" s="871"/>
      <c r="M26" s="871"/>
      <c r="N26" s="872"/>
      <c r="O26" s="873"/>
      <c r="P26" s="874">
        <v>48</v>
      </c>
      <c r="Q26" s="901"/>
      <c r="R26" s="902"/>
      <c r="S26" s="887" t="s">
        <v>831</v>
      </c>
      <c r="T26" s="887"/>
      <c r="U26" s="903"/>
      <c r="V26" s="883"/>
      <c r="W26" s="883"/>
      <c r="X26" s="883"/>
      <c r="Y26" s="883"/>
      <c r="Z26" s="883"/>
      <c r="AA26" s="883"/>
      <c r="AB26" s="903"/>
      <c r="AC26" s="894"/>
      <c r="AD26" s="894"/>
      <c r="AE26" s="894"/>
      <c r="AF26" s="894"/>
      <c r="AG26" s="894"/>
      <c r="AH26" s="894"/>
      <c r="AI26" s="808"/>
      <c r="AJ26" s="808"/>
      <c r="AK26" s="808"/>
      <c r="AL26" s="915"/>
    </row>
    <row r="27" spans="1:38" s="532" customFormat="1" ht="12">
      <c r="A27" s="835">
        <v>17</v>
      </c>
      <c r="B27" s="835" t="s">
        <v>857</v>
      </c>
      <c r="C27" s="836" t="s">
        <v>858</v>
      </c>
      <c r="D27" s="837"/>
      <c r="E27" s="838">
        <v>1000</v>
      </c>
      <c r="F27" s="839"/>
      <c r="G27" s="840"/>
      <c r="H27" s="840"/>
      <c r="I27" s="875" t="s">
        <v>510</v>
      </c>
      <c r="J27" s="835" t="s">
        <v>89</v>
      </c>
      <c r="K27" s="870" t="s">
        <v>180</v>
      </c>
      <c r="L27" s="871"/>
      <c r="M27" s="871"/>
      <c r="N27" s="872"/>
      <c r="O27" s="873"/>
      <c r="P27" s="874">
        <v>48</v>
      </c>
      <c r="Q27" s="902"/>
      <c r="R27" s="902"/>
      <c r="S27" s="887" t="s">
        <v>831</v>
      </c>
      <c r="T27" s="887"/>
      <c r="U27" s="903"/>
      <c r="V27" s="883"/>
      <c r="W27" s="883"/>
      <c r="X27" s="883"/>
      <c r="Y27" s="883"/>
      <c r="Z27" s="883"/>
      <c r="AA27" s="883"/>
      <c r="AB27" s="903"/>
      <c r="AC27" s="894"/>
      <c r="AD27" s="894"/>
      <c r="AE27" s="894"/>
      <c r="AF27" s="894"/>
      <c r="AG27" s="894"/>
      <c r="AH27" s="894"/>
      <c r="AI27" s="808"/>
      <c r="AJ27" s="808"/>
      <c r="AK27" s="808"/>
      <c r="AL27" s="915"/>
    </row>
    <row r="28" spans="1:38" s="532" customFormat="1" ht="12.75" customHeight="1">
      <c r="A28" s="818">
        <v>18</v>
      </c>
      <c r="B28" s="818" t="s">
        <v>859</v>
      </c>
      <c r="C28" s="782" t="s">
        <v>860</v>
      </c>
      <c r="D28" s="820"/>
      <c r="E28" s="824">
        <v>761</v>
      </c>
      <c r="F28" s="821"/>
      <c r="G28" s="822"/>
      <c r="H28" s="822"/>
      <c r="I28" s="860" t="s">
        <v>510</v>
      </c>
      <c r="J28" s="818" t="s">
        <v>89</v>
      </c>
      <c r="K28" s="850" t="s">
        <v>180</v>
      </c>
      <c r="L28" s="851"/>
      <c r="M28" s="851"/>
      <c r="N28" s="852"/>
      <c r="O28" s="858"/>
      <c r="P28" s="859">
        <v>42</v>
      </c>
      <c r="Q28" s="842"/>
      <c r="R28" s="900"/>
      <c r="S28" s="881"/>
      <c r="T28" s="904" t="s">
        <v>831</v>
      </c>
      <c r="U28" s="903"/>
      <c r="V28" s="883"/>
      <c r="W28" s="883"/>
      <c r="X28" s="883"/>
      <c r="Y28" s="883"/>
      <c r="Z28" s="883"/>
      <c r="AA28" s="883"/>
      <c r="AB28" s="903"/>
      <c r="AC28" s="894"/>
      <c r="AD28" s="894"/>
      <c r="AE28" s="894"/>
      <c r="AF28" s="894"/>
      <c r="AG28" s="894"/>
      <c r="AH28" s="894"/>
      <c r="AI28" s="808"/>
      <c r="AJ28" s="808"/>
      <c r="AK28" s="808"/>
      <c r="AL28" s="915"/>
    </row>
    <row r="29" spans="1:38" s="532" customFormat="1" ht="12">
      <c r="A29" s="818">
        <v>19</v>
      </c>
      <c r="B29" s="818" t="s">
        <v>861</v>
      </c>
      <c r="C29" s="709" t="s">
        <v>518</v>
      </c>
      <c r="D29" s="820"/>
      <c r="E29" s="824">
        <v>116</v>
      </c>
      <c r="F29" s="821"/>
      <c r="G29" s="822"/>
      <c r="H29" s="822"/>
      <c r="I29" s="860" t="s">
        <v>510</v>
      </c>
      <c r="J29" s="818" t="s">
        <v>97</v>
      </c>
      <c r="K29" s="850" t="s">
        <v>336</v>
      </c>
      <c r="L29" s="851"/>
      <c r="M29" s="851"/>
      <c r="N29" s="852"/>
      <c r="O29" s="858"/>
      <c r="P29" s="859">
        <v>42</v>
      </c>
      <c r="Q29" s="842"/>
      <c r="R29" s="900"/>
      <c r="S29" s="881"/>
      <c r="T29" s="904" t="s">
        <v>831</v>
      </c>
      <c r="U29" s="903"/>
      <c r="V29" s="883"/>
      <c r="W29" s="883"/>
      <c r="X29" s="883"/>
      <c r="Y29" s="883"/>
      <c r="Z29" s="883"/>
      <c r="AA29" s="883"/>
      <c r="AB29" s="903"/>
      <c r="AC29" s="894"/>
      <c r="AD29" s="894"/>
      <c r="AE29" s="894"/>
      <c r="AF29" s="894"/>
      <c r="AG29" s="894"/>
      <c r="AH29" s="894"/>
      <c r="AI29" s="808"/>
      <c r="AJ29" s="808"/>
      <c r="AK29" s="808"/>
      <c r="AL29" s="915"/>
    </row>
    <row r="30" spans="1:38" s="532" customFormat="1" ht="14.25" customHeight="1">
      <c r="A30" s="818">
        <v>20</v>
      </c>
      <c r="B30" s="818" t="s">
        <v>862</v>
      </c>
      <c r="C30" s="782" t="s">
        <v>520</v>
      </c>
      <c r="D30" s="820"/>
      <c r="E30" s="824">
        <v>350</v>
      </c>
      <c r="F30" s="821"/>
      <c r="G30" s="822"/>
      <c r="H30" s="822"/>
      <c r="I30" s="860" t="s">
        <v>510</v>
      </c>
      <c r="J30" s="818" t="s">
        <v>97</v>
      </c>
      <c r="K30" s="850" t="s">
        <v>336</v>
      </c>
      <c r="L30" s="851"/>
      <c r="M30" s="851"/>
      <c r="N30" s="852"/>
      <c r="O30" s="858"/>
      <c r="P30" s="859">
        <v>24</v>
      </c>
      <c r="Q30" s="842"/>
      <c r="R30" s="900"/>
      <c r="S30" s="881"/>
      <c r="T30" s="904" t="s">
        <v>831</v>
      </c>
      <c r="U30" s="903"/>
      <c r="V30" s="883"/>
      <c r="W30" s="883"/>
      <c r="X30" s="883"/>
      <c r="Y30" s="883"/>
      <c r="Z30" s="883"/>
      <c r="AA30" s="883"/>
      <c r="AB30" s="903"/>
      <c r="AC30" s="842"/>
      <c r="AD30" s="842"/>
      <c r="AE30" s="842"/>
      <c r="AF30" s="842"/>
      <c r="AG30" s="842"/>
      <c r="AH30" s="842"/>
      <c r="AI30" s="808"/>
      <c r="AJ30" s="808"/>
      <c r="AK30" s="808"/>
      <c r="AL30" s="915"/>
    </row>
    <row r="31" spans="1:38" s="532" customFormat="1" ht="12">
      <c r="A31" s="818">
        <v>21</v>
      </c>
      <c r="B31" s="818" t="s">
        <v>863</v>
      </c>
      <c r="C31" s="782" t="s">
        <v>521</v>
      </c>
      <c r="D31" s="820"/>
      <c r="E31" s="824">
        <v>350</v>
      </c>
      <c r="F31" s="821"/>
      <c r="G31" s="822"/>
      <c r="H31" s="822"/>
      <c r="I31" s="860" t="s">
        <v>510</v>
      </c>
      <c r="J31" s="818" t="s">
        <v>97</v>
      </c>
      <c r="K31" s="850" t="s">
        <v>336</v>
      </c>
      <c r="L31" s="851"/>
      <c r="M31" s="851"/>
      <c r="N31" s="852"/>
      <c r="O31" s="858"/>
      <c r="P31" s="859">
        <v>24</v>
      </c>
      <c r="Q31" s="842"/>
      <c r="R31" s="900"/>
      <c r="S31" s="881"/>
      <c r="T31" s="904" t="s">
        <v>831</v>
      </c>
      <c r="U31" s="903"/>
      <c r="V31" s="883"/>
      <c r="W31" s="883"/>
      <c r="X31" s="883"/>
      <c r="Y31" s="883"/>
      <c r="Z31" s="883"/>
      <c r="AA31" s="883"/>
      <c r="AB31" s="903"/>
      <c r="AC31" s="842"/>
      <c r="AD31" s="842"/>
      <c r="AE31" s="842"/>
      <c r="AF31" s="842"/>
      <c r="AG31" s="842"/>
      <c r="AH31" s="842"/>
      <c r="AI31" s="808"/>
      <c r="AJ31" s="808"/>
      <c r="AK31" s="808"/>
      <c r="AL31" s="915"/>
    </row>
    <row r="32" spans="1:38" s="532" customFormat="1" ht="12">
      <c r="A32" s="842">
        <v>22</v>
      </c>
      <c r="B32" s="818" t="s">
        <v>864</v>
      </c>
      <c r="C32" s="782" t="s">
        <v>522</v>
      </c>
      <c r="D32" s="820" t="s">
        <v>829</v>
      </c>
      <c r="E32" s="824">
        <v>300</v>
      </c>
      <c r="F32" s="821">
        <f t="shared" si="1"/>
        <v>41.095890410958908</v>
      </c>
      <c r="G32" s="822">
        <v>1</v>
      </c>
      <c r="H32" s="822"/>
      <c r="I32" s="860" t="s">
        <v>510</v>
      </c>
      <c r="J32" s="818" t="s">
        <v>97</v>
      </c>
      <c r="K32" s="850" t="s">
        <v>180</v>
      </c>
      <c r="L32" s="851" t="s">
        <v>830</v>
      </c>
      <c r="M32" s="851" t="s">
        <v>865</v>
      </c>
      <c r="N32" s="852">
        <v>60</v>
      </c>
      <c r="O32" s="858"/>
      <c r="P32" s="859">
        <v>24</v>
      </c>
      <c r="Q32" s="881"/>
      <c r="R32" s="881"/>
      <c r="S32" s="886"/>
      <c r="T32" s="904" t="s">
        <v>831</v>
      </c>
      <c r="U32" s="883"/>
      <c r="V32" s="883"/>
      <c r="W32" s="883"/>
      <c r="X32" s="883"/>
      <c r="Y32" s="883"/>
      <c r="Z32" s="903"/>
      <c r="AA32" s="894"/>
      <c r="AB32" s="894"/>
      <c r="AC32" s="842"/>
      <c r="AD32" s="842"/>
      <c r="AE32" s="842"/>
      <c r="AF32" s="842"/>
      <c r="AG32" s="842"/>
      <c r="AH32" s="842"/>
      <c r="AI32" s="808"/>
      <c r="AJ32" s="808"/>
      <c r="AK32" s="808"/>
      <c r="AL32" s="915"/>
    </row>
    <row r="33" spans="1:38" s="532" customFormat="1" ht="12">
      <c r="A33" s="1126" t="s">
        <v>841</v>
      </c>
      <c r="B33" s="1127"/>
      <c r="C33" s="1127"/>
      <c r="D33" s="820"/>
      <c r="E33" s="834">
        <f>SUM(E26:E32)</f>
        <v>3877</v>
      </c>
      <c r="F33" s="821"/>
      <c r="G33" s="822"/>
      <c r="H33" s="822"/>
      <c r="I33" s="1128"/>
      <c r="J33" s="1128"/>
      <c r="K33" s="1128"/>
      <c r="L33" s="1128"/>
      <c r="M33" s="1128"/>
      <c r="N33" s="1128"/>
      <c r="O33" s="1128"/>
      <c r="P33" s="1128"/>
      <c r="Q33" s="1128"/>
      <c r="R33" s="1128"/>
      <c r="S33" s="1128"/>
      <c r="T33" s="1128"/>
      <c r="U33" s="1128"/>
      <c r="V33" s="1128"/>
      <c r="W33" s="1128"/>
      <c r="X33" s="1128"/>
      <c r="Y33" s="1128"/>
      <c r="Z33" s="1128"/>
      <c r="AA33" s="1128"/>
      <c r="AB33" s="1128"/>
      <c r="AC33" s="1128"/>
      <c r="AD33" s="1128"/>
      <c r="AE33" s="1128"/>
      <c r="AF33" s="1128"/>
      <c r="AG33" s="1128"/>
      <c r="AH33" s="1128"/>
      <c r="AI33" s="808"/>
      <c r="AJ33" s="808"/>
      <c r="AK33" s="808"/>
      <c r="AL33" s="915"/>
    </row>
    <row r="34" spans="1:38" s="532" customFormat="1">
      <c r="A34" s="1126"/>
      <c r="B34" s="1126"/>
      <c r="C34" s="1126"/>
      <c r="D34" s="1126"/>
      <c r="E34" s="1126"/>
      <c r="F34" s="1126"/>
      <c r="G34" s="1126"/>
      <c r="H34" s="1126"/>
      <c r="I34" s="1126"/>
      <c r="J34" s="1126"/>
      <c r="K34" s="1126"/>
      <c r="L34" s="1126"/>
      <c r="M34" s="1126"/>
      <c r="N34" s="1126"/>
      <c r="O34" s="1126"/>
      <c r="P34" s="1126"/>
      <c r="Q34" s="1126"/>
      <c r="R34" s="1126"/>
      <c r="S34" s="1126"/>
      <c r="T34" s="1126"/>
      <c r="U34" s="1126"/>
      <c r="V34" s="1126"/>
      <c r="W34" s="1126"/>
      <c r="X34" s="1126"/>
      <c r="Y34" s="1126"/>
      <c r="Z34" s="1126"/>
      <c r="AA34" s="1126"/>
      <c r="AB34" s="1126"/>
      <c r="AC34" s="1126"/>
      <c r="AD34" s="1126"/>
      <c r="AE34" s="1126"/>
      <c r="AF34" s="1126"/>
      <c r="AG34" s="1126"/>
      <c r="AH34" s="1126"/>
      <c r="AI34" s="808"/>
      <c r="AJ34" s="808"/>
      <c r="AK34" s="808"/>
      <c r="AL34" s="915"/>
    </row>
    <row r="35" spans="1:38" ht="12">
      <c r="A35" s="1129" t="s">
        <v>523</v>
      </c>
      <c r="B35" s="1130"/>
      <c r="C35" s="1130"/>
      <c r="D35" s="843"/>
      <c r="E35" s="844">
        <f>SUM(E12,E15,E24,E33)</f>
        <v>285045.69573175302</v>
      </c>
      <c r="F35" s="845"/>
      <c r="G35" s="846"/>
      <c r="H35" s="846"/>
      <c r="I35" s="1131"/>
      <c r="J35" s="1131"/>
      <c r="K35" s="1131"/>
      <c r="L35" s="1131"/>
      <c r="M35" s="1131"/>
      <c r="N35" s="1131"/>
      <c r="O35" s="1131"/>
      <c r="P35" s="1131"/>
      <c r="Q35" s="1131"/>
      <c r="R35" s="1131"/>
      <c r="S35" s="1131"/>
      <c r="T35" s="1131"/>
      <c r="U35" s="1131"/>
      <c r="V35" s="1131"/>
      <c r="W35" s="1131"/>
      <c r="X35" s="1131"/>
      <c r="Y35" s="1131"/>
      <c r="Z35" s="1131"/>
      <c r="AA35" s="1131"/>
      <c r="AB35" s="1131"/>
      <c r="AC35" s="1131"/>
      <c r="AD35" s="1131"/>
      <c r="AE35" s="1131"/>
      <c r="AF35" s="1131"/>
      <c r="AG35" s="1131"/>
      <c r="AH35" s="1131"/>
      <c r="AI35" s="810"/>
    </row>
    <row r="36" spans="1:38" ht="13.2">
      <c r="A36" s="533" t="s">
        <v>866</v>
      </c>
    </row>
  </sheetData>
  <mergeCells count="28">
    <mergeCell ref="A34:AH34"/>
    <mergeCell ref="A35:C35"/>
    <mergeCell ref="I35:AH35"/>
    <mergeCell ref="A2:A3"/>
    <mergeCell ref="B2:B3"/>
    <mergeCell ref="C2:C3"/>
    <mergeCell ref="D2:D3"/>
    <mergeCell ref="I2:I3"/>
    <mergeCell ref="J2:J3"/>
    <mergeCell ref="K2:K3"/>
    <mergeCell ref="L2:L3"/>
    <mergeCell ref="M2:M3"/>
    <mergeCell ref="N2:N3"/>
    <mergeCell ref="O2:O3"/>
    <mergeCell ref="P2:P3"/>
    <mergeCell ref="B12:C12"/>
    <mergeCell ref="A15:C15"/>
    <mergeCell ref="A24:C24"/>
    <mergeCell ref="A33:C33"/>
    <mergeCell ref="I33:AH33"/>
    <mergeCell ref="A1:AH1"/>
    <mergeCell ref="E2:F2"/>
    <mergeCell ref="G2:H2"/>
    <mergeCell ref="Q2:R2"/>
    <mergeCell ref="S2:V2"/>
    <mergeCell ref="W2:Z2"/>
    <mergeCell ref="AA2:AD2"/>
    <mergeCell ref="AE2:AH2"/>
  </mergeCells>
  <printOptions horizontalCentered="1" verticalCentered="1"/>
  <pageMargins left="0.25" right="0.25" top="0.75" bottom="0.75" header="0.3" footer="0.3"/>
  <pageSetup paperSize="9" scale="78" orientation="landscape"/>
  <headerFooter alignWithMargins="0">
    <oddHeader>&amp;R&amp;"Calibri"&amp;12&amp;K000000*OFFICIAL USE ONLY&amp;1#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352"/>
  <sheetViews>
    <sheetView topLeftCell="B1" zoomScale="83" zoomScaleNormal="83" workbookViewId="0">
      <selection sqref="A1:T1"/>
    </sheetView>
  </sheetViews>
  <sheetFormatPr defaultColWidth="9" defaultRowHeight="14.4"/>
  <cols>
    <col min="1" max="1" width="12.44140625" style="662" customWidth="1"/>
    <col min="2" max="2" width="23.88671875" style="662" customWidth="1"/>
    <col min="3" max="3" width="53.5546875" style="662" customWidth="1"/>
    <col min="4" max="4" width="12.5546875" style="663" customWidth="1"/>
    <col min="5" max="5" width="10.77734375" style="664" customWidth="1"/>
    <col min="6" max="6" width="11.5546875" style="663" customWidth="1"/>
    <col min="7" max="7" width="12.5546875" style="663" customWidth="1"/>
    <col min="8" max="8" width="8.33203125" style="662" customWidth="1"/>
    <col min="9" max="9" width="11" style="662" customWidth="1"/>
    <col min="10" max="10" width="6.77734375" style="662" customWidth="1"/>
    <col min="11" max="11" width="6" style="662" customWidth="1"/>
    <col min="12" max="12" width="9" style="662" hidden="1" customWidth="1"/>
    <col min="13" max="13" width="5.88671875" style="662" customWidth="1"/>
    <col min="14" max="15" width="9" style="662" hidden="1" customWidth="1"/>
    <col min="16" max="17" width="8.88671875" style="662" customWidth="1"/>
    <col min="18" max="18" width="9.33203125" style="665" customWidth="1"/>
    <col min="19" max="19" width="8.5546875" style="662" customWidth="1"/>
    <col min="20" max="20" width="8.77734375" style="662"/>
  </cols>
  <sheetData>
    <row r="1" spans="1:20" ht="17.399999999999999">
      <c r="A1" s="1100" t="s">
        <v>672</v>
      </c>
      <c r="B1" s="1100"/>
      <c r="C1" s="1101"/>
      <c r="D1" s="1101"/>
      <c r="E1" s="1101"/>
      <c r="F1" s="1101"/>
      <c r="G1" s="1101"/>
      <c r="H1" s="1101"/>
      <c r="I1" s="1101"/>
      <c r="J1" s="1101"/>
      <c r="K1" s="1101"/>
      <c r="L1" s="1101"/>
      <c r="M1" s="1101"/>
      <c r="N1" s="1101"/>
      <c r="O1" s="1101"/>
      <c r="P1" s="1101"/>
      <c r="Q1" s="1101"/>
      <c r="R1" s="1101"/>
      <c r="S1" s="1101"/>
      <c r="T1" s="1101"/>
    </row>
    <row r="2" spans="1:20" ht="27.6">
      <c r="A2" s="666" t="s">
        <v>106</v>
      </c>
      <c r="B2" s="769" t="s">
        <v>107</v>
      </c>
      <c r="C2" s="668"/>
      <c r="D2" s="669"/>
      <c r="F2" s="669"/>
      <c r="G2" s="669"/>
      <c r="H2" s="670"/>
      <c r="I2" s="670"/>
      <c r="J2" s="670"/>
      <c r="K2" s="670"/>
      <c r="L2" s="670"/>
      <c r="M2" s="670"/>
      <c r="N2" s="670"/>
      <c r="O2" s="670"/>
      <c r="P2" s="670"/>
      <c r="Q2" s="670"/>
      <c r="R2" s="702"/>
      <c r="S2" s="670"/>
    </row>
    <row r="3" spans="1:20">
      <c r="A3" s="671">
        <v>7.11</v>
      </c>
      <c r="B3" s="672">
        <v>45394</v>
      </c>
      <c r="C3" s="673"/>
      <c r="D3" s="674"/>
      <c r="E3" s="675"/>
      <c r="F3" s="674"/>
      <c r="G3" s="674"/>
      <c r="H3" s="676"/>
      <c r="I3" s="676"/>
      <c r="J3" s="676"/>
      <c r="K3" s="676"/>
      <c r="L3" s="676"/>
      <c r="M3" s="676"/>
      <c r="N3" s="676"/>
      <c r="O3" s="676"/>
      <c r="P3" s="676"/>
      <c r="Q3" s="676"/>
      <c r="R3" s="703"/>
      <c r="S3" s="676"/>
      <c r="T3" s="704"/>
    </row>
    <row r="4" spans="1:20">
      <c r="A4" s="1085" t="s">
        <v>108</v>
      </c>
      <c r="B4" s="1085" t="s">
        <v>109</v>
      </c>
      <c r="C4" s="1085" t="s">
        <v>110</v>
      </c>
      <c r="D4" s="1073" t="s">
        <v>111</v>
      </c>
      <c r="E4" s="1074"/>
      <c r="F4" s="1114" t="s">
        <v>673</v>
      </c>
      <c r="G4" s="1115"/>
      <c r="H4" s="1087" t="s">
        <v>113</v>
      </c>
      <c r="I4" s="1087" t="s">
        <v>114</v>
      </c>
      <c r="J4" s="1088" t="s">
        <v>115</v>
      </c>
      <c r="K4" s="1090" t="s">
        <v>116</v>
      </c>
      <c r="L4" s="1092" t="s">
        <v>117</v>
      </c>
      <c r="M4" s="1088" t="s">
        <v>118</v>
      </c>
      <c r="N4" s="1099" t="s">
        <v>119</v>
      </c>
      <c r="O4" s="1099"/>
      <c r="P4" s="1090" t="s">
        <v>120</v>
      </c>
      <c r="Q4" s="1088" t="s">
        <v>121</v>
      </c>
      <c r="R4" s="1096" t="s">
        <v>122</v>
      </c>
      <c r="S4" s="1090" t="s">
        <v>123</v>
      </c>
      <c r="T4" s="1116" t="s">
        <v>124</v>
      </c>
    </row>
    <row r="5" spans="1:20" ht="26.4">
      <c r="A5" s="1086"/>
      <c r="B5" s="1086"/>
      <c r="C5" s="1086"/>
      <c r="D5" s="770" t="s">
        <v>125</v>
      </c>
      <c r="E5" s="771" t="s">
        <v>126</v>
      </c>
      <c r="F5" s="772" t="s">
        <v>126</v>
      </c>
      <c r="G5" s="773" t="s">
        <v>674</v>
      </c>
      <c r="H5" s="1087"/>
      <c r="I5" s="1087"/>
      <c r="J5" s="1089"/>
      <c r="K5" s="1091"/>
      <c r="L5" s="1093"/>
      <c r="M5" s="1089"/>
      <c r="N5" s="1099"/>
      <c r="O5" s="1099"/>
      <c r="P5" s="1094"/>
      <c r="Q5" s="1095"/>
      <c r="R5" s="1097"/>
      <c r="S5" s="1094"/>
      <c r="T5" s="1089"/>
    </row>
    <row r="6" spans="1:20">
      <c r="A6" s="756" t="s">
        <v>128</v>
      </c>
      <c r="B6" s="774" t="s">
        <v>129</v>
      </c>
      <c r="C6" s="680"/>
      <c r="D6" s="681"/>
      <c r="E6" s="682"/>
      <c r="F6" s="681"/>
      <c r="G6" s="681"/>
      <c r="H6" s="680"/>
      <c r="I6" s="680"/>
      <c r="J6" s="680"/>
      <c r="K6" s="680"/>
      <c r="L6" s="680"/>
      <c r="M6" s="680"/>
      <c r="N6" s="680"/>
      <c r="O6" s="680"/>
      <c r="P6" s="680"/>
      <c r="Q6" s="680"/>
      <c r="R6" s="705"/>
      <c r="S6" s="680"/>
      <c r="T6" s="706"/>
    </row>
    <row r="7" spans="1:20" ht="26.4">
      <c r="A7" s="775" t="s">
        <v>130</v>
      </c>
      <c r="B7" s="776" t="s">
        <v>131</v>
      </c>
      <c r="C7" s="683" t="s">
        <v>675</v>
      </c>
      <c r="D7" s="684">
        <f>SUM(D8,D21,D29)</f>
        <v>6876.7533184221402</v>
      </c>
      <c r="E7" s="685">
        <f>D7/A3</f>
        <v>967.19455955304363</v>
      </c>
      <c r="F7" s="685">
        <f>E7</f>
        <v>967.19455955304363</v>
      </c>
      <c r="G7" s="685">
        <f>D7</f>
        <v>6876.7533184221402</v>
      </c>
      <c r="H7" s="606" t="s">
        <v>133</v>
      </c>
      <c r="I7" s="606" t="s">
        <v>30</v>
      </c>
      <c r="J7" s="606">
        <v>18</v>
      </c>
      <c r="K7" s="697" t="s">
        <v>134</v>
      </c>
      <c r="L7" s="606" t="s">
        <v>135</v>
      </c>
      <c r="M7" s="780"/>
      <c r="N7" s="606"/>
      <c r="O7" s="606"/>
      <c r="P7" s="698">
        <v>2025.3</v>
      </c>
      <c r="Q7" s="698">
        <v>2025.4</v>
      </c>
      <c r="R7" s="698" t="s">
        <v>136</v>
      </c>
      <c r="S7" s="698" t="s">
        <v>137</v>
      </c>
      <c r="T7" s="697"/>
    </row>
    <row r="8" spans="1:20" hidden="1">
      <c r="A8" s="777">
        <v>1.1000000000000001</v>
      </c>
      <c r="B8" s="690" t="s">
        <v>138</v>
      </c>
      <c r="C8" s="687" t="s">
        <v>676</v>
      </c>
      <c r="D8" s="688">
        <f>'[2]总投资-发采购-0411-GLP拆分场外费用(司调)'!G7</f>
        <v>5931.3338184221402</v>
      </c>
      <c r="E8" s="689"/>
      <c r="F8" s="689">
        <f t="shared" ref="F8:F71" si="0">E8</f>
        <v>0</v>
      </c>
      <c r="G8" s="689">
        <f t="shared" ref="G8:G71" si="1">D8</f>
        <v>5931.3338184221402</v>
      </c>
      <c r="H8" s="686"/>
      <c r="I8" s="686"/>
      <c r="J8" s="686"/>
      <c r="K8" s="707"/>
      <c r="L8" s="686"/>
      <c r="M8" s="780"/>
      <c r="N8" s="686"/>
      <c r="O8" s="686"/>
      <c r="P8" s="699"/>
      <c r="Q8" s="699"/>
      <c r="R8" s="699"/>
      <c r="S8" s="699"/>
      <c r="T8" s="707"/>
    </row>
    <row r="9" spans="1:20" hidden="1">
      <c r="A9" s="777" t="s">
        <v>140</v>
      </c>
      <c r="B9" s="690"/>
      <c r="C9" s="687" t="s">
        <v>677</v>
      </c>
      <c r="D9" s="688">
        <f>'[2]总投资-发采购-0411-GLP拆分场外费用(司调)'!G8</f>
        <v>4137.5599067698404</v>
      </c>
      <c r="E9" s="689"/>
      <c r="F9" s="689">
        <f t="shared" si="0"/>
        <v>0</v>
      </c>
      <c r="G9" s="689">
        <f t="shared" si="1"/>
        <v>4137.5599067698404</v>
      </c>
      <c r="H9" s="686"/>
      <c r="I9" s="686"/>
      <c r="J9" s="686"/>
      <c r="K9" s="707"/>
      <c r="L9" s="686"/>
      <c r="M9" s="780"/>
      <c r="N9" s="686"/>
      <c r="O9" s="686"/>
      <c r="P9" s="699"/>
      <c r="Q9" s="699"/>
      <c r="R9" s="699"/>
      <c r="S9" s="699"/>
      <c r="T9" s="707"/>
    </row>
    <row r="10" spans="1:20" hidden="1">
      <c r="A10" s="777" t="s">
        <v>142</v>
      </c>
      <c r="B10" s="690"/>
      <c r="C10" s="687" t="s">
        <v>678</v>
      </c>
      <c r="D10" s="688">
        <f>'[2]总投资-发采购-0411-GLP拆分场外费用(司调)'!G9</f>
        <v>13.96608</v>
      </c>
      <c r="E10" s="689"/>
      <c r="F10" s="689">
        <f t="shared" si="0"/>
        <v>0</v>
      </c>
      <c r="G10" s="689">
        <f t="shared" si="1"/>
        <v>13.96608</v>
      </c>
      <c r="H10" s="686"/>
      <c r="I10" s="686"/>
      <c r="J10" s="686"/>
      <c r="K10" s="707"/>
      <c r="L10" s="686"/>
      <c r="M10" s="780"/>
      <c r="N10" s="686"/>
      <c r="O10" s="686"/>
      <c r="P10" s="699"/>
      <c r="Q10" s="699"/>
      <c r="R10" s="699"/>
      <c r="S10" s="699"/>
      <c r="T10" s="707"/>
    </row>
    <row r="11" spans="1:20" hidden="1">
      <c r="A11" s="777" t="s">
        <v>144</v>
      </c>
      <c r="B11" s="690"/>
      <c r="C11" s="687" t="s">
        <v>679</v>
      </c>
      <c r="D11" s="688">
        <f>'[2]总投资-发采购-0411-GLP拆分场外费用(司调)'!G10</f>
        <v>125.69472</v>
      </c>
      <c r="E11" s="689"/>
      <c r="F11" s="689">
        <f t="shared" si="0"/>
        <v>0</v>
      </c>
      <c r="G11" s="689">
        <f t="shared" si="1"/>
        <v>125.69472</v>
      </c>
      <c r="H11" s="686"/>
      <c r="I11" s="686"/>
      <c r="J11" s="686"/>
      <c r="K11" s="707"/>
      <c r="L11" s="686"/>
      <c r="M11" s="780"/>
      <c r="N11" s="686"/>
      <c r="O11" s="686"/>
      <c r="P11" s="699"/>
      <c r="Q11" s="699"/>
      <c r="R11" s="699"/>
      <c r="S11" s="699"/>
      <c r="T11" s="707"/>
    </row>
    <row r="12" spans="1:20" hidden="1">
      <c r="A12" s="777" t="s">
        <v>146</v>
      </c>
      <c r="B12" s="690"/>
      <c r="C12" s="687" t="s">
        <v>680</v>
      </c>
      <c r="D12" s="688">
        <f>'[2]总投资-发采购-0411-GLP拆分场外费用(司调)'!G11</f>
        <v>97.762559999999993</v>
      </c>
      <c r="E12" s="689"/>
      <c r="F12" s="689">
        <f t="shared" si="0"/>
        <v>0</v>
      </c>
      <c r="G12" s="689">
        <f t="shared" si="1"/>
        <v>97.762559999999993</v>
      </c>
      <c r="H12" s="686"/>
      <c r="I12" s="686"/>
      <c r="J12" s="686"/>
      <c r="K12" s="707"/>
      <c r="L12" s="686"/>
      <c r="M12" s="780"/>
      <c r="N12" s="686"/>
      <c r="O12" s="686"/>
      <c r="P12" s="699"/>
      <c r="Q12" s="699"/>
      <c r="R12" s="699"/>
      <c r="S12" s="699"/>
      <c r="T12" s="707"/>
    </row>
    <row r="13" spans="1:20" hidden="1">
      <c r="A13" s="777" t="s">
        <v>148</v>
      </c>
      <c r="B13" s="690"/>
      <c r="C13" s="687" t="s">
        <v>681</v>
      </c>
      <c r="D13" s="688">
        <f>'[2]总投资-发采购-0411-GLP拆分场外费用(司调)'!G12</f>
        <v>216.47424000000001</v>
      </c>
      <c r="E13" s="689"/>
      <c r="F13" s="689">
        <f t="shared" si="0"/>
        <v>0</v>
      </c>
      <c r="G13" s="689">
        <f t="shared" si="1"/>
        <v>216.47424000000001</v>
      </c>
      <c r="H13" s="686"/>
      <c r="I13" s="686"/>
      <c r="J13" s="686"/>
      <c r="K13" s="707"/>
      <c r="L13" s="686"/>
      <c r="M13" s="780"/>
      <c r="N13" s="686"/>
      <c r="O13" s="686"/>
      <c r="P13" s="699"/>
      <c r="Q13" s="699"/>
      <c r="R13" s="699"/>
      <c r="S13" s="699"/>
      <c r="T13" s="707"/>
    </row>
    <row r="14" spans="1:20" hidden="1">
      <c r="A14" s="777" t="s">
        <v>150</v>
      </c>
      <c r="B14" s="690"/>
      <c r="C14" s="687" t="s">
        <v>682</v>
      </c>
      <c r="D14" s="688">
        <f>'[2]总投资-发采购-0411-GLP拆分场外费用(司调)'!G13</f>
        <v>59.652501722990401</v>
      </c>
      <c r="E14" s="689"/>
      <c r="F14" s="689">
        <f t="shared" si="0"/>
        <v>0</v>
      </c>
      <c r="G14" s="689">
        <f t="shared" si="1"/>
        <v>59.652501722990401</v>
      </c>
      <c r="H14" s="686"/>
      <c r="I14" s="686"/>
      <c r="J14" s="686"/>
      <c r="K14" s="707"/>
      <c r="L14" s="686"/>
      <c r="M14" s="780"/>
      <c r="N14" s="686"/>
      <c r="O14" s="686"/>
      <c r="P14" s="699"/>
      <c r="Q14" s="699"/>
      <c r="R14" s="699"/>
      <c r="S14" s="699"/>
      <c r="T14" s="707"/>
    </row>
    <row r="15" spans="1:20" hidden="1">
      <c r="A15" s="777" t="s">
        <v>152</v>
      </c>
      <c r="B15" s="690"/>
      <c r="C15" s="687" t="s">
        <v>683</v>
      </c>
      <c r="D15" s="688">
        <f>'[2]总投资-发采购-0411-GLP拆分场外费用(司调)'!G14</f>
        <v>218.22</v>
      </c>
      <c r="E15" s="689"/>
      <c r="F15" s="689">
        <f t="shared" si="0"/>
        <v>0</v>
      </c>
      <c r="G15" s="689">
        <f t="shared" si="1"/>
        <v>218.22</v>
      </c>
      <c r="H15" s="686"/>
      <c r="I15" s="686"/>
      <c r="J15" s="686"/>
      <c r="K15" s="707"/>
      <c r="L15" s="686"/>
      <c r="M15" s="780"/>
      <c r="N15" s="686"/>
      <c r="O15" s="686"/>
      <c r="P15" s="699"/>
      <c r="Q15" s="699"/>
      <c r="R15" s="699"/>
      <c r="S15" s="699"/>
      <c r="T15" s="707"/>
    </row>
    <row r="16" spans="1:20" hidden="1">
      <c r="A16" s="777" t="s">
        <v>154</v>
      </c>
      <c r="B16" s="690"/>
      <c r="C16" s="687" t="s">
        <v>684</v>
      </c>
      <c r="D16" s="688">
        <f>'[2]总投资-发采购-0411-GLP拆分场外费用(司调)'!G15</f>
        <v>1024.0038099293099</v>
      </c>
      <c r="E16" s="689"/>
      <c r="F16" s="689">
        <f t="shared" si="0"/>
        <v>0</v>
      </c>
      <c r="G16" s="689">
        <f t="shared" si="1"/>
        <v>1024.0038099293099</v>
      </c>
      <c r="H16" s="686"/>
      <c r="I16" s="686"/>
      <c r="J16" s="686"/>
      <c r="K16" s="707"/>
      <c r="L16" s="686"/>
      <c r="M16" s="780"/>
      <c r="N16" s="686"/>
      <c r="O16" s="686"/>
      <c r="P16" s="699"/>
      <c r="Q16" s="699"/>
      <c r="R16" s="699"/>
      <c r="S16" s="699"/>
      <c r="T16" s="707"/>
    </row>
    <row r="17" spans="1:20" hidden="1">
      <c r="A17" s="777" t="s">
        <v>154</v>
      </c>
      <c r="B17" s="690"/>
      <c r="C17" s="687" t="s">
        <v>685</v>
      </c>
      <c r="D17" s="688">
        <f>'[2]总投资-发采购-0411-GLP拆分场外费用(司调)'!G16</f>
        <v>38</v>
      </c>
      <c r="E17" s="689"/>
      <c r="F17" s="689">
        <f t="shared" si="0"/>
        <v>0</v>
      </c>
      <c r="G17" s="689">
        <f t="shared" si="1"/>
        <v>38</v>
      </c>
      <c r="H17" s="686"/>
      <c r="I17" s="686"/>
      <c r="J17" s="686"/>
      <c r="K17" s="707"/>
      <c r="L17" s="686"/>
      <c r="M17" s="780"/>
      <c r="N17" s="686"/>
      <c r="O17" s="686"/>
      <c r="P17" s="699"/>
      <c r="Q17" s="699"/>
      <c r="R17" s="699"/>
      <c r="S17" s="699"/>
      <c r="T17" s="707"/>
    </row>
    <row r="18" spans="1:20" hidden="1">
      <c r="A18" s="777"/>
      <c r="B18" s="690"/>
      <c r="C18" s="687" t="s">
        <v>686</v>
      </c>
      <c r="D18" s="688">
        <f>'[2]总投资-发采购-0411-GLP拆分场外费用(司调)'!G17</f>
        <v>1</v>
      </c>
      <c r="E18" s="689"/>
      <c r="F18" s="689">
        <f t="shared" si="0"/>
        <v>0</v>
      </c>
      <c r="G18" s="689">
        <f t="shared" si="1"/>
        <v>1</v>
      </c>
      <c r="H18" s="686"/>
      <c r="I18" s="686"/>
      <c r="J18" s="686"/>
      <c r="K18" s="707"/>
      <c r="L18" s="686"/>
      <c r="M18" s="780"/>
      <c r="N18" s="686"/>
      <c r="O18" s="686"/>
      <c r="P18" s="699"/>
      <c r="Q18" s="699"/>
      <c r="R18" s="699"/>
      <c r="S18" s="699"/>
      <c r="T18" s="707"/>
    </row>
    <row r="19" spans="1:20" hidden="1">
      <c r="A19" s="777"/>
      <c r="B19" s="690"/>
      <c r="C19" s="687" t="s">
        <v>687</v>
      </c>
      <c r="D19" s="688">
        <f>'[2]总投资-发采购-0411-GLP拆分场外费用(司调)'!G18</f>
        <v>4</v>
      </c>
      <c r="E19" s="689"/>
      <c r="F19" s="689">
        <f t="shared" si="0"/>
        <v>0</v>
      </c>
      <c r="G19" s="689">
        <f t="shared" si="1"/>
        <v>4</v>
      </c>
      <c r="H19" s="686"/>
      <c r="I19" s="686"/>
      <c r="J19" s="686"/>
      <c r="K19" s="707"/>
      <c r="L19" s="686"/>
      <c r="M19" s="780"/>
      <c r="N19" s="686"/>
      <c r="O19" s="686"/>
      <c r="P19" s="699"/>
      <c r="Q19" s="699"/>
      <c r="R19" s="699"/>
      <c r="S19" s="699"/>
      <c r="T19" s="707"/>
    </row>
    <row r="20" spans="1:20" hidden="1">
      <c r="A20" s="777"/>
      <c r="B20" s="691"/>
      <c r="C20" s="692" t="s">
        <v>688</v>
      </c>
      <c r="D20" s="688">
        <f>'[2]总投资-发采购-0411-GLP拆分场外费用(司调)'!G19</f>
        <v>33</v>
      </c>
      <c r="E20" s="693"/>
      <c r="F20" s="689">
        <f t="shared" si="0"/>
        <v>0</v>
      </c>
      <c r="G20" s="689">
        <f t="shared" si="1"/>
        <v>33</v>
      </c>
      <c r="H20" s="686"/>
      <c r="I20" s="686"/>
      <c r="J20" s="686"/>
      <c r="K20" s="707"/>
      <c r="L20" s="686"/>
      <c r="M20" s="780"/>
      <c r="N20" s="686"/>
      <c r="O20" s="686"/>
      <c r="P20" s="699"/>
      <c r="Q20" s="699"/>
      <c r="R20" s="699"/>
      <c r="S20" s="699"/>
      <c r="T20" s="707"/>
    </row>
    <row r="21" spans="1:20" hidden="1">
      <c r="A21" s="777" t="s">
        <v>160</v>
      </c>
      <c r="B21" s="690"/>
      <c r="C21" s="694" t="s">
        <v>689</v>
      </c>
      <c r="D21" s="688">
        <f>'[2]总投资-发采购-0411-GLP拆分场外费用(司调)'!G20</f>
        <v>481.61950000000002</v>
      </c>
      <c r="E21" s="693"/>
      <c r="F21" s="689">
        <f t="shared" si="0"/>
        <v>0</v>
      </c>
      <c r="G21" s="689">
        <f t="shared" si="1"/>
        <v>481.61950000000002</v>
      </c>
      <c r="H21" s="686"/>
      <c r="I21" s="686"/>
      <c r="J21" s="686"/>
      <c r="K21" s="707"/>
      <c r="L21" s="686"/>
      <c r="M21" s="780"/>
      <c r="N21" s="686"/>
      <c r="O21" s="686"/>
      <c r="P21" s="699"/>
      <c r="Q21" s="699"/>
      <c r="R21" s="699"/>
      <c r="S21" s="699"/>
      <c r="T21" s="707"/>
    </row>
    <row r="22" spans="1:20" hidden="1">
      <c r="A22" s="777" t="s">
        <v>162</v>
      </c>
      <c r="B22" s="690"/>
      <c r="C22" s="694" t="s">
        <v>690</v>
      </c>
      <c r="D22" s="688">
        <f>'[2]总投资-发采购-0411-GLP拆分场外费用(司调)'!G21</f>
        <v>3.3214999999999999</v>
      </c>
      <c r="E22" s="693"/>
      <c r="F22" s="689">
        <f t="shared" si="0"/>
        <v>0</v>
      </c>
      <c r="G22" s="689">
        <f t="shared" si="1"/>
        <v>3.3214999999999999</v>
      </c>
      <c r="H22" s="686"/>
      <c r="I22" s="686"/>
      <c r="J22" s="686"/>
      <c r="K22" s="707"/>
      <c r="L22" s="686"/>
      <c r="M22" s="780"/>
      <c r="N22" s="686"/>
      <c r="O22" s="686"/>
      <c r="P22" s="699"/>
      <c r="Q22" s="699"/>
      <c r="R22" s="699"/>
      <c r="S22" s="699"/>
      <c r="T22" s="707"/>
    </row>
    <row r="23" spans="1:20" hidden="1">
      <c r="A23" s="777" t="s">
        <v>164</v>
      </c>
      <c r="B23" s="690"/>
      <c r="C23" s="694" t="s">
        <v>691</v>
      </c>
      <c r="D23" s="688">
        <f>'[2]总投资-发采购-0411-GLP拆分场外费用(司调)'!G22</f>
        <v>455.52</v>
      </c>
      <c r="E23" s="693"/>
      <c r="F23" s="689">
        <f t="shared" si="0"/>
        <v>0</v>
      </c>
      <c r="G23" s="689">
        <f t="shared" si="1"/>
        <v>455.52</v>
      </c>
      <c r="H23" s="686"/>
      <c r="I23" s="686"/>
      <c r="J23" s="686"/>
      <c r="K23" s="707"/>
      <c r="L23" s="686"/>
      <c r="M23" s="780"/>
      <c r="N23" s="686"/>
      <c r="O23" s="686"/>
      <c r="P23" s="699"/>
      <c r="Q23" s="699"/>
      <c r="R23" s="699"/>
      <c r="S23" s="699"/>
      <c r="T23" s="707"/>
    </row>
    <row r="24" spans="1:20" hidden="1">
      <c r="A24" s="777" t="s">
        <v>166</v>
      </c>
      <c r="B24" s="690"/>
      <c r="C24" s="694" t="s">
        <v>692</v>
      </c>
      <c r="D24" s="688">
        <f>'[2]总投资-发采购-0411-GLP拆分场外费用(司调)'!G23</f>
        <v>2.847</v>
      </c>
      <c r="E24" s="693"/>
      <c r="F24" s="689">
        <f t="shared" si="0"/>
        <v>0</v>
      </c>
      <c r="G24" s="689">
        <f t="shared" si="1"/>
        <v>2.847</v>
      </c>
      <c r="H24" s="686"/>
      <c r="I24" s="686"/>
      <c r="J24" s="686"/>
      <c r="K24" s="707"/>
      <c r="L24" s="686"/>
      <c r="M24" s="780"/>
      <c r="N24" s="686"/>
      <c r="O24" s="686"/>
      <c r="P24" s="699"/>
      <c r="Q24" s="699"/>
      <c r="R24" s="699"/>
      <c r="S24" s="699"/>
      <c r="T24" s="707"/>
    </row>
    <row r="25" spans="1:20" hidden="1">
      <c r="A25" s="777" t="s">
        <v>168</v>
      </c>
      <c r="B25" s="690"/>
      <c r="C25" s="694" t="s">
        <v>693</v>
      </c>
      <c r="D25" s="688">
        <f>'[2]总投资-发采购-0411-GLP拆分场外费用(司调)'!G24</f>
        <v>3.7959999999999998</v>
      </c>
      <c r="E25" s="693"/>
      <c r="F25" s="689">
        <f t="shared" si="0"/>
        <v>0</v>
      </c>
      <c r="G25" s="689">
        <f t="shared" si="1"/>
        <v>3.7959999999999998</v>
      </c>
      <c r="H25" s="686"/>
      <c r="I25" s="686"/>
      <c r="J25" s="686"/>
      <c r="K25" s="707"/>
      <c r="L25" s="686"/>
      <c r="M25" s="780"/>
      <c r="N25" s="686"/>
      <c r="O25" s="686"/>
      <c r="P25" s="699"/>
      <c r="Q25" s="699"/>
      <c r="R25" s="699"/>
      <c r="S25" s="699"/>
      <c r="T25" s="707"/>
    </row>
    <row r="26" spans="1:20" hidden="1">
      <c r="A26" s="777" t="s">
        <v>170</v>
      </c>
      <c r="B26" s="690"/>
      <c r="C26" s="694" t="s">
        <v>694</v>
      </c>
      <c r="D26" s="688">
        <f>'[2]总投资-发采购-0411-GLP拆分场外费用(司调)'!G25</f>
        <v>8.5410000000000004</v>
      </c>
      <c r="E26" s="693"/>
      <c r="F26" s="689">
        <f t="shared" si="0"/>
        <v>0</v>
      </c>
      <c r="G26" s="689">
        <f t="shared" si="1"/>
        <v>8.5410000000000004</v>
      </c>
      <c r="H26" s="686"/>
      <c r="I26" s="686"/>
      <c r="J26" s="686"/>
      <c r="K26" s="707"/>
      <c r="L26" s="686"/>
      <c r="M26" s="780"/>
      <c r="N26" s="686"/>
      <c r="O26" s="686"/>
      <c r="P26" s="699"/>
      <c r="Q26" s="699"/>
      <c r="R26" s="699"/>
      <c r="S26" s="699"/>
      <c r="T26" s="707"/>
    </row>
    <row r="27" spans="1:20" hidden="1">
      <c r="A27" s="777" t="s">
        <v>172</v>
      </c>
      <c r="B27" s="690"/>
      <c r="C27" s="694" t="s">
        <v>695</v>
      </c>
      <c r="D27" s="688">
        <f>'[2]总投资-发采购-0411-GLP拆分场外费用(司调)'!G26</f>
        <v>5.694</v>
      </c>
      <c r="E27" s="693"/>
      <c r="F27" s="689">
        <f t="shared" si="0"/>
        <v>0</v>
      </c>
      <c r="G27" s="689">
        <f t="shared" si="1"/>
        <v>5.694</v>
      </c>
      <c r="H27" s="686"/>
      <c r="I27" s="686"/>
      <c r="J27" s="686"/>
      <c r="K27" s="707"/>
      <c r="L27" s="686"/>
      <c r="M27" s="780"/>
      <c r="N27" s="686"/>
      <c r="O27" s="686"/>
      <c r="P27" s="699"/>
      <c r="Q27" s="699"/>
      <c r="R27" s="699"/>
      <c r="S27" s="699"/>
      <c r="T27" s="707"/>
    </row>
    <row r="28" spans="1:20" hidden="1">
      <c r="A28" s="777" t="s">
        <v>174</v>
      </c>
      <c r="B28" s="691"/>
      <c r="C28" s="692" t="s">
        <v>696</v>
      </c>
      <c r="D28" s="688">
        <f>'[2]总投资-发采购-0411-GLP拆分场外费用(司调)'!G27</f>
        <v>1.9</v>
      </c>
      <c r="E28" s="693"/>
      <c r="F28" s="689">
        <f t="shared" si="0"/>
        <v>0</v>
      </c>
      <c r="G28" s="689">
        <f t="shared" si="1"/>
        <v>1.9</v>
      </c>
      <c r="H28" s="686"/>
      <c r="I28" s="686"/>
      <c r="J28" s="686"/>
      <c r="K28" s="707"/>
      <c r="L28" s="686"/>
      <c r="M28" s="780"/>
      <c r="N28" s="686"/>
      <c r="O28" s="686"/>
      <c r="P28" s="699"/>
      <c r="Q28" s="699"/>
      <c r="R28" s="699"/>
      <c r="S28" s="699"/>
      <c r="T28" s="707"/>
    </row>
    <row r="29" spans="1:20" hidden="1">
      <c r="A29" s="777">
        <v>1.4</v>
      </c>
      <c r="B29" s="690"/>
      <c r="C29" s="692" t="s">
        <v>697</v>
      </c>
      <c r="D29" s="688">
        <f>'[2]总投资-发采购-0411-GLP拆分场外费用(司调)'!G28</f>
        <v>463.8</v>
      </c>
      <c r="E29" s="693"/>
      <c r="F29" s="689">
        <f t="shared" si="0"/>
        <v>0</v>
      </c>
      <c r="G29" s="689">
        <f t="shared" si="1"/>
        <v>463.8</v>
      </c>
      <c r="H29" s="686"/>
      <c r="I29" s="686"/>
      <c r="J29" s="686"/>
      <c r="K29" s="707"/>
      <c r="L29" s="686"/>
      <c r="M29" s="780"/>
      <c r="N29" s="686"/>
      <c r="O29" s="686"/>
      <c r="P29" s="699"/>
      <c r="Q29" s="699"/>
      <c r="R29" s="699"/>
      <c r="S29" s="699"/>
      <c r="T29" s="707"/>
    </row>
    <row r="30" spans="1:20">
      <c r="A30" s="775" t="s">
        <v>177</v>
      </c>
      <c r="B30" s="683" t="s">
        <v>698</v>
      </c>
      <c r="C30" s="683" t="s">
        <v>699</v>
      </c>
      <c r="D30" s="684">
        <f>'[2]总投资-发采购-0411-GLP拆分场外费用(司调)'!G82</f>
        <v>13277.6976990773</v>
      </c>
      <c r="E30" s="695">
        <f>D30/$A$3</f>
        <v>1867.4680308125596</v>
      </c>
      <c r="F30" s="685">
        <f t="shared" si="0"/>
        <v>1867.4680308125596</v>
      </c>
      <c r="G30" s="685">
        <f t="shared" si="1"/>
        <v>13277.6976990773</v>
      </c>
      <c r="H30" s="606" t="s">
        <v>133</v>
      </c>
      <c r="I30" s="606" t="s">
        <v>30</v>
      </c>
      <c r="J30" s="606">
        <v>18</v>
      </c>
      <c r="K30" s="781" t="s">
        <v>180</v>
      </c>
      <c r="L30" s="606" t="s">
        <v>135</v>
      </c>
      <c r="M30" s="780"/>
      <c r="N30" s="606"/>
      <c r="O30" s="606"/>
      <c r="P30" s="698">
        <v>2025.3</v>
      </c>
      <c r="Q30" s="698">
        <v>2025.4</v>
      </c>
      <c r="R30" s="698" t="s">
        <v>136</v>
      </c>
      <c r="S30" s="698" t="s">
        <v>137</v>
      </c>
      <c r="T30" s="697"/>
    </row>
    <row r="31" spans="1:20" hidden="1">
      <c r="A31" s="777">
        <v>2.8</v>
      </c>
      <c r="B31" s="690" t="s">
        <v>700</v>
      </c>
      <c r="C31" s="696"/>
      <c r="D31" s="688">
        <f>'[2]总投资-发采购-0411-GLP拆分场外费用(司调)'!G82</f>
        <v>13277.6976990773</v>
      </c>
      <c r="E31" s="693">
        <f t="shared" ref="E31:E44" si="2">D31/$A$3</f>
        <v>1867.4680308125596</v>
      </c>
      <c r="F31" s="689">
        <f t="shared" si="0"/>
        <v>1867.4680308125596</v>
      </c>
      <c r="G31" s="689">
        <f t="shared" si="1"/>
        <v>13277.6976990773</v>
      </c>
      <c r="H31" s="700"/>
      <c r="I31" s="700"/>
      <c r="J31" s="700"/>
      <c r="K31" s="781" t="s">
        <v>180</v>
      </c>
      <c r="L31" s="700"/>
      <c r="M31" s="780"/>
      <c r="N31" s="700"/>
      <c r="O31" s="700"/>
      <c r="P31" s="701"/>
      <c r="Q31" s="701"/>
      <c r="R31" s="701"/>
      <c r="S31" s="701"/>
      <c r="T31" s="708"/>
    </row>
    <row r="32" spans="1:20" hidden="1">
      <c r="A32" s="777" t="s">
        <v>183</v>
      </c>
      <c r="B32" s="690" t="s">
        <v>677</v>
      </c>
      <c r="C32" s="696"/>
      <c r="D32" s="688">
        <f>'[2]总投资-发采购-0411-GLP拆分场外费用(司调)'!G83</f>
        <v>9630.4162214578791</v>
      </c>
      <c r="E32" s="693">
        <f t="shared" si="2"/>
        <v>1354.48892003627</v>
      </c>
      <c r="F32" s="689">
        <f t="shared" si="0"/>
        <v>1354.48892003627</v>
      </c>
      <c r="G32" s="689">
        <f t="shared" si="1"/>
        <v>9630.4162214578791</v>
      </c>
      <c r="H32" s="700"/>
      <c r="I32" s="700"/>
      <c r="J32" s="700"/>
      <c r="K32" s="781" t="s">
        <v>180</v>
      </c>
      <c r="L32" s="700"/>
      <c r="M32" s="780"/>
      <c r="N32" s="700"/>
      <c r="O32" s="700"/>
      <c r="P32" s="701"/>
      <c r="Q32" s="701"/>
      <c r="R32" s="701"/>
      <c r="S32" s="701"/>
      <c r="T32" s="708"/>
    </row>
    <row r="33" spans="1:20" hidden="1">
      <c r="A33" s="777" t="s">
        <v>184</v>
      </c>
      <c r="B33" s="690" t="s">
        <v>678</v>
      </c>
      <c r="C33" s="696"/>
      <c r="D33" s="688">
        <f>'[2]总投资-发采购-0411-GLP拆分场外费用(司调)'!G84</f>
        <v>32.506880000000002</v>
      </c>
      <c r="E33" s="693">
        <f t="shared" si="2"/>
        <v>4.5719943741209566</v>
      </c>
      <c r="F33" s="689">
        <f t="shared" si="0"/>
        <v>4.5719943741209566</v>
      </c>
      <c r="G33" s="689">
        <f t="shared" si="1"/>
        <v>32.506880000000002</v>
      </c>
      <c r="H33" s="700"/>
      <c r="I33" s="700"/>
      <c r="J33" s="700"/>
      <c r="K33" s="781" t="s">
        <v>180</v>
      </c>
      <c r="L33" s="700"/>
      <c r="M33" s="780"/>
      <c r="N33" s="700"/>
      <c r="O33" s="700"/>
      <c r="P33" s="701"/>
      <c r="Q33" s="701"/>
      <c r="R33" s="701"/>
      <c r="S33" s="701"/>
      <c r="T33" s="708"/>
    </row>
    <row r="34" spans="1:20" hidden="1">
      <c r="A34" s="777" t="s">
        <v>185</v>
      </c>
      <c r="B34" s="690" t="s">
        <v>679</v>
      </c>
      <c r="C34" s="696"/>
      <c r="D34" s="688">
        <f>'[2]总投资-发采购-0411-GLP拆分场外费用(司调)'!G85</f>
        <v>292.56191999999999</v>
      </c>
      <c r="E34" s="693">
        <f t="shared" si="2"/>
        <v>41.147949367088607</v>
      </c>
      <c r="F34" s="689">
        <f t="shared" si="0"/>
        <v>41.147949367088607</v>
      </c>
      <c r="G34" s="689">
        <f t="shared" si="1"/>
        <v>292.56191999999999</v>
      </c>
      <c r="H34" s="700"/>
      <c r="I34" s="700"/>
      <c r="J34" s="700"/>
      <c r="K34" s="781" t="s">
        <v>180</v>
      </c>
      <c r="L34" s="700"/>
      <c r="M34" s="780"/>
      <c r="N34" s="700"/>
      <c r="O34" s="700"/>
      <c r="P34" s="701"/>
      <c r="Q34" s="701"/>
      <c r="R34" s="701"/>
      <c r="S34" s="701"/>
      <c r="T34" s="708"/>
    </row>
    <row r="35" spans="1:20" hidden="1">
      <c r="A35" s="777" t="s">
        <v>186</v>
      </c>
      <c r="B35" s="690" t="s">
        <v>680</v>
      </c>
      <c r="C35" s="696"/>
      <c r="D35" s="688">
        <f>'[2]总投资-发采购-0411-GLP拆分场外费用(司调)'!G86</f>
        <v>227.54816</v>
      </c>
      <c r="E35" s="693">
        <f t="shared" si="2"/>
        <v>32.003960618846691</v>
      </c>
      <c r="F35" s="689">
        <f t="shared" si="0"/>
        <v>32.003960618846691</v>
      </c>
      <c r="G35" s="689">
        <f t="shared" si="1"/>
        <v>227.54816</v>
      </c>
      <c r="H35" s="700"/>
      <c r="I35" s="700"/>
      <c r="J35" s="700"/>
      <c r="K35" s="781" t="s">
        <v>180</v>
      </c>
      <c r="L35" s="700"/>
      <c r="M35" s="780"/>
      <c r="N35" s="700"/>
      <c r="O35" s="700"/>
      <c r="P35" s="701"/>
      <c r="Q35" s="701"/>
      <c r="R35" s="701"/>
      <c r="S35" s="701"/>
      <c r="T35" s="708"/>
    </row>
    <row r="36" spans="1:20" hidden="1">
      <c r="A36" s="777" t="s">
        <v>187</v>
      </c>
      <c r="B36" s="690" t="s">
        <v>681</v>
      </c>
      <c r="C36" s="696"/>
      <c r="D36" s="688">
        <f>'[2]总投资-发采购-0411-GLP拆分场外费用(司调)'!G87</f>
        <v>503.85664000000003</v>
      </c>
      <c r="E36" s="693">
        <f t="shared" si="2"/>
        <v>70.865912798874831</v>
      </c>
      <c r="F36" s="689">
        <f t="shared" si="0"/>
        <v>70.865912798874831</v>
      </c>
      <c r="G36" s="689">
        <f t="shared" si="1"/>
        <v>503.85664000000003</v>
      </c>
      <c r="H36" s="700"/>
      <c r="I36" s="700"/>
      <c r="J36" s="700"/>
      <c r="K36" s="781" t="s">
        <v>180</v>
      </c>
      <c r="L36" s="700"/>
      <c r="M36" s="780"/>
      <c r="N36" s="700"/>
      <c r="O36" s="700"/>
      <c r="P36" s="701"/>
      <c r="Q36" s="701"/>
      <c r="R36" s="701"/>
      <c r="S36" s="701"/>
      <c r="T36" s="708"/>
    </row>
    <row r="37" spans="1:20" hidden="1">
      <c r="A37" s="777" t="s">
        <v>188</v>
      </c>
      <c r="B37" s="690" t="s">
        <v>682</v>
      </c>
      <c r="C37" s="696"/>
      <c r="D37" s="688">
        <f>'[2]总投资-发采购-0411-GLP拆分场外费用(司调)'!G88</f>
        <v>138.84473776528901</v>
      </c>
      <c r="E37" s="693">
        <f t="shared" si="2"/>
        <v>19.528092512698876</v>
      </c>
      <c r="F37" s="689">
        <f t="shared" si="0"/>
        <v>19.528092512698876</v>
      </c>
      <c r="G37" s="689">
        <f t="shared" si="1"/>
        <v>138.84473776528901</v>
      </c>
      <c r="H37" s="700"/>
      <c r="I37" s="700"/>
      <c r="J37" s="700"/>
      <c r="K37" s="781" t="s">
        <v>180</v>
      </c>
      <c r="L37" s="700"/>
      <c r="M37" s="780"/>
      <c r="N37" s="700"/>
      <c r="O37" s="700"/>
      <c r="P37" s="701"/>
      <c r="Q37" s="701"/>
      <c r="R37" s="701"/>
      <c r="S37" s="701"/>
      <c r="T37" s="708"/>
    </row>
    <row r="38" spans="1:20" hidden="1">
      <c r="A38" s="777" t="s">
        <v>189</v>
      </c>
      <c r="B38" s="690" t="s">
        <v>683</v>
      </c>
      <c r="C38" s="696"/>
      <c r="D38" s="688">
        <f>'[2]总投资-发采购-0411-GLP拆分场外费用(司调)'!G89</f>
        <v>507.92</v>
      </c>
      <c r="E38" s="693">
        <f t="shared" si="2"/>
        <v>71.437412095639942</v>
      </c>
      <c r="F38" s="689">
        <f t="shared" si="0"/>
        <v>71.437412095639942</v>
      </c>
      <c r="G38" s="689">
        <f t="shared" si="1"/>
        <v>507.92</v>
      </c>
      <c r="H38" s="700"/>
      <c r="I38" s="700"/>
      <c r="J38" s="700"/>
      <c r="K38" s="781" t="s">
        <v>180</v>
      </c>
      <c r="L38" s="700"/>
      <c r="M38" s="780"/>
      <c r="N38" s="700"/>
      <c r="O38" s="700"/>
      <c r="P38" s="701"/>
      <c r="Q38" s="701"/>
      <c r="R38" s="701"/>
      <c r="S38" s="701"/>
      <c r="T38" s="708"/>
    </row>
    <row r="39" spans="1:20" hidden="1">
      <c r="A39" s="777"/>
      <c r="B39" s="690" t="s">
        <v>684</v>
      </c>
      <c r="C39" s="696"/>
      <c r="D39" s="688">
        <f>'[2]总投资-发采购-0411-GLP拆分场外费用(司调)'!G90</f>
        <v>1881.04313985413</v>
      </c>
      <c r="E39" s="693">
        <f t="shared" si="2"/>
        <v>264.56302951534877</v>
      </c>
      <c r="F39" s="689">
        <f t="shared" si="0"/>
        <v>264.56302951534877</v>
      </c>
      <c r="G39" s="689">
        <f t="shared" si="1"/>
        <v>1881.04313985413</v>
      </c>
      <c r="H39" s="700"/>
      <c r="I39" s="700"/>
      <c r="J39" s="700"/>
      <c r="K39" s="781" t="s">
        <v>180</v>
      </c>
      <c r="L39" s="700"/>
      <c r="M39" s="780"/>
      <c r="N39" s="700"/>
      <c r="O39" s="700"/>
      <c r="P39" s="701"/>
      <c r="Q39" s="701"/>
      <c r="R39" s="701"/>
      <c r="S39" s="701"/>
      <c r="T39" s="708"/>
    </row>
    <row r="40" spans="1:20" hidden="1">
      <c r="A40" s="777" t="s">
        <v>190</v>
      </c>
      <c r="B40" s="690" t="s">
        <v>685</v>
      </c>
      <c r="C40" s="696"/>
      <c r="D40" s="688">
        <f>'[2]总投资-发采购-0411-GLP拆分场外费用(司调)'!G91</f>
        <v>63</v>
      </c>
      <c r="E40" s="693">
        <f t="shared" si="2"/>
        <v>8.8607594936708853</v>
      </c>
      <c r="F40" s="689">
        <f t="shared" si="0"/>
        <v>8.8607594936708853</v>
      </c>
      <c r="G40" s="689">
        <f t="shared" si="1"/>
        <v>63</v>
      </c>
      <c r="H40" s="700"/>
      <c r="I40" s="700"/>
      <c r="J40" s="700"/>
      <c r="K40" s="781" t="s">
        <v>180</v>
      </c>
      <c r="L40" s="700"/>
      <c r="M40" s="780"/>
      <c r="N40" s="700"/>
      <c r="O40" s="700"/>
      <c r="P40" s="701"/>
      <c r="Q40" s="701"/>
      <c r="R40" s="701"/>
      <c r="S40" s="701"/>
      <c r="T40" s="708"/>
    </row>
    <row r="41" spans="1:20" hidden="1">
      <c r="A41" s="777"/>
      <c r="B41" s="690" t="s">
        <v>686</v>
      </c>
      <c r="C41" s="696"/>
      <c r="D41" s="688">
        <f>'[2]总投资-发采购-0411-GLP拆分场外费用(司调)'!G92</f>
        <v>1</v>
      </c>
      <c r="E41" s="693">
        <f t="shared" si="2"/>
        <v>0.14064697609001406</v>
      </c>
      <c r="F41" s="689">
        <f t="shared" si="0"/>
        <v>0.14064697609001406</v>
      </c>
      <c r="G41" s="689">
        <f t="shared" si="1"/>
        <v>1</v>
      </c>
      <c r="H41" s="700"/>
      <c r="I41" s="700"/>
      <c r="J41" s="700"/>
      <c r="K41" s="781" t="s">
        <v>180</v>
      </c>
      <c r="L41" s="700"/>
      <c r="M41" s="780"/>
      <c r="N41" s="700"/>
      <c r="O41" s="700"/>
      <c r="P41" s="701"/>
      <c r="Q41" s="701"/>
      <c r="R41" s="701"/>
      <c r="S41" s="701"/>
      <c r="T41" s="708"/>
    </row>
    <row r="42" spans="1:20" hidden="1">
      <c r="A42" s="777"/>
      <c r="B42" s="690" t="s">
        <v>687</v>
      </c>
      <c r="C42" s="696"/>
      <c r="D42" s="688">
        <f>'[2]总投资-发采购-0411-GLP拆分场外费用(司调)'!G93</f>
        <v>11</v>
      </c>
      <c r="E42" s="693">
        <f t="shared" si="2"/>
        <v>1.5471167369901546</v>
      </c>
      <c r="F42" s="689">
        <f t="shared" si="0"/>
        <v>1.5471167369901546</v>
      </c>
      <c r="G42" s="689">
        <f t="shared" si="1"/>
        <v>11</v>
      </c>
      <c r="H42" s="700"/>
      <c r="I42" s="700"/>
      <c r="J42" s="700"/>
      <c r="K42" s="781" t="s">
        <v>180</v>
      </c>
      <c r="L42" s="700"/>
      <c r="M42" s="780"/>
      <c r="N42" s="700"/>
      <c r="O42" s="700"/>
      <c r="P42" s="701"/>
      <c r="Q42" s="701"/>
      <c r="R42" s="701"/>
      <c r="S42" s="701"/>
      <c r="T42" s="708"/>
    </row>
    <row r="43" spans="1:20" hidden="1">
      <c r="A43" s="777"/>
      <c r="B43" s="690" t="s">
        <v>688</v>
      </c>
      <c r="C43" s="696"/>
      <c r="D43" s="688">
        <f>'[2]总投资-发采购-0411-GLP拆分场外费用(司调)'!G94</f>
        <v>51</v>
      </c>
      <c r="E43" s="693">
        <f t="shared" si="2"/>
        <v>7.1729957805907167</v>
      </c>
      <c r="F43" s="689">
        <f t="shared" si="0"/>
        <v>7.1729957805907167</v>
      </c>
      <c r="G43" s="689">
        <f t="shared" si="1"/>
        <v>51</v>
      </c>
      <c r="H43" s="700"/>
      <c r="I43" s="700"/>
      <c r="J43" s="700"/>
      <c r="K43" s="781" t="s">
        <v>180</v>
      </c>
      <c r="L43" s="700"/>
      <c r="M43" s="780"/>
      <c r="N43" s="700"/>
      <c r="O43" s="700"/>
      <c r="P43" s="701"/>
      <c r="Q43" s="701"/>
      <c r="R43" s="701"/>
      <c r="S43" s="701"/>
      <c r="T43" s="708"/>
    </row>
    <row r="44" spans="1:20" ht="15" customHeight="1">
      <c r="A44" s="775" t="s">
        <v>26</v>
      </c>
      <c r="B44" s="683" t="s">
        <v>701</v>
      </c>
      <c r="C44" s="683" t="s">
        <v>702</v>
      </c>
      <c r="D44" s="684">
        <f>SUM('[2]总投资-发采购-0411-GLP拆分场外费用(司调)'!G173,'[2]总投资-发采购-0411-GLP拆分场外费用(司调)'!G186,'[2]总投资-发采购-0411-GLP拆分场外费用(司调)'!G202)</f>
        <v>25772.963395329403</v>
      </c>
      <c r="E44" s="695">
        <f t="shared" si="2"/>
        <v>3624.889366431702</v>
      </c>
      <c r="F44" s="685">
        <f t="shared" si="0"/>
        <v>3624.889366431702</v>
      </c>
      <c r="G44" s="685">
        <f t="shared" si="1"/>
        <v>25772.963395329403</v>
      </c>
      <c r="H44" s="606" t="s">
        <v>133</v>
      </c>
      <c r="I44" s="606" t="s">
        <v>30</v>
      </c>
      <c r="J44" s="606">
        <v>18</v>
      </c>
      <c r="K44" s="781" t="s">
        <v>180</v>
      </c>
      <c r="L44" s="606" t="s">
        <v>135</v>
      </c>
      <c r="M44" s="780"/>
      <c r="N44" s="606"/>
      <c r="O44" s="606"/>
      <c r="P44" s="698">
        <v>2025.3</v>
      </c>
      <c r="Q44" s="698">
        <v>2025.4</v>
      </c>
      <c r="R44" s="698" t="s">
        <v>136</v>
      </c>
      <c r="S44" s="698">
        <v>2026.12</v>
      </c>
      <c r="T44" s="697"/>
    </row>
    <row r="45" spans="1:20" hidden="1">
      <c r="A45" s="778">
        <v>2.15</v>
      </c>
      <c r="B45" s="690" t="s">
        <v>703</v>
      </c>
      <c r="C45" s="687"/>
      <c r="D45" s="688">
        <f>'[2]总投资-发采购-0411-GLP拆分场外费用(司调)'!G173</f>
        <v>11277.360138763701</v>
      </c>
      <c r="E45" s="693">
        <f t="shared" ref="E45:E71" si="3">D45/$A$3</f>
        <v>1586.1266017951759</v>
      </c>
      <c r="F45" s="689">
        <f t="shared" si="0"/>
        <v>1586.1266017951759</v>
      </c>
      <c r="G45" s="689">
        <f t="shared" si="1"/>
        <v>11277.360138763701</v>
      </c>
      <c r="H45" s="686" t="s">
        <v>704</v>
      </c>
      <c r="I45" s="686" t="s">
        <v>30</v>
      </c>
      <c r="J45" s="686" t="s">
        <v>705</v>
      </c>
      <c r="K45" s="707" t="s">
        <v>706</v>
      </c>
      <c r="L45" s="686" t="s">
        <v>707</v>
      </c>
      <c r="M45" s="780"/>
      <c r="N45" s="686"/>
      <c r="O45" s="686"/>
      <c r="P45" s="699">
        <v>2025.3</v>
      </c>
      <c r="Q45" s="699">
        <v>2025.4</v>
      </c>
      <c r="R45" s="699" t="s">
        <v>136</v>
      </c>
      <c r="S45" s="699">
        <v>2026.12</v>
      </c>
      <c r="T45" s="707"/>
    </row>
    <row r="46" spans="1:20" hidden="1">
      <c r="A46" s="777" t="s">
        <v>198</v>
      </c>
      <c r="B46" s="690" t="s">
        <v>677</v>
      </c>
      <c r="C46" s="687"/>
      <c r="D46" s="688">
        <f>'[2]总投资-发采购-0411-GLP拆分场外费用(司调)'!G174</f>
        <v>8671.0150149573092</v>
      </c>
      <c r="E46" s="693">
        <f t="shared" si="3"/>
        <v>1219.5520414848536</v>
      </c>
      <c r="F46" s="689">
        <f t="shared" si="0"/>
        <v>1219.5520414848536</v>
      </c>
      <c r="G46" s="689">
        <f t="shared" si="1"/>
        <v>8671.0150149573092</v>
      </c>
      <c r="H46" s="686" t="s">
        <v>704</v>
      </c>
      <c r="I46" s="686" t="s">
        <v>30</v>
      </c>
      <c r="J46" s="686" t="s">
        <v>705</v>
      </c>
      <c r="K46" s="707" t="s">
        <v>706</v>
      </c>
      <c r="L46" s="686" t="s">
        <v>707</v>
      </c>
      <c r="M46" s="780"/>
      <c r="N46" s="686"/>
      <c r="O46" s="686"/>
      <c r="P46" s="699">
        <v>2025.3</v>
      </c>
      <c r="Q46" s="699">
        <v>2025.4</v>
      </c>
      <c r="R46" s="699" t="s">
        <v>136</v>
      </c>
      <c r="S46" s="699">
        <v>2026.12</v>
      </c>
      <c r="T46" s="707"/>
    </row>
    <row r="47" spans="1:20" hidden="1">
      <c r="A47" s="777" t="s">
        <v>199</v>
      </c>
      <c r="B47" s="690" t="s">
        <v>678</v>
      </c>
      <c r="C47" s="687"/>
      <c r="D47" s="688">
        <f>'[2]总投资-发采购-0411-GLP拆分场外费用(司调)'!G175</f>
        <v>29.26848</v>
      </c>
      <c r="E47" s="693">
        <f t="shared" si="3"/>
        <v>4.1165232067510544</v>
      </c>
      <c r="F47" s="689">
        <f t="shared" si="0"/>
        <v>4.1165232067510544</v>
      </c>
      <c r="G47" s="689">
        <f t="shared" si="1"/>
        <v>29.26848</v>
      </c>
      <c r="H47" s="686" t="s">
        <v>704</v>
      </c>
      <c r="I47" s="686" t="s">
        <v>30</v>
      </c>
      <c r="J47" s="686" t="s">
        <v>705</v>
      </c>
      <c r="K47" s="707" t="s">
        <v>706</v>
      </c>
      <c r="L47" s="686" t="s">
        <v>707</v>
      </c>
      <c r="M47" s="780"/>
      <c r="N47" s="686"/>
      <c r="O47" s="686"/>
      <c r="P47" s="699">
        <v>2025.3</v>
      </c>
      <c r="Q47" s="699">
        <v>2025.4</v>
      </c>
      <c r="R47" s="699" t="s">
        <v>136</v>
      </c>
      <c r="S47" s="699">
        <v>2026.12</v>
      </c>
      <c r="T47" s="707"/>
    </row>
    <row r="48" spans="1:20" hidden="1">
      <c r="A48" s="777" t="s">
        <v>200</v>
      </c>
      <c r="B48" s="690" t="s">
        <v>679</v>
      </c>
      <c r="C48" s="687"/>
      <c r="D48" s="688">
        <f>'[2]总投资-发采购-0411-GLP拆分场外费用(司调)'!G176</f>
        <v>263.41631999999998</v>
      </c>
      <c r="E48" s="693">
        <f t="shared" si="3"/>
        <v>37.04870886075949</v>
      </c>
      <c r="F48" s="689">
        <f t="shared" si="0"/>
        <v>37.04870886075949</v>
      </c>
      <c r="G48" s="689">
        <f t="shared" si="1"/>
        <v>263.41631999999998</v>
      </c>
      <c r="H48" s="686" t="s">
        <v>704</v>
      </c>
      <c r="I48" s="686" t="s">
        <v>30</v>
      </c>
      <c r="J48" s="686" t="s">
        <v>705</v>
      </c>
      <c r="K48" s="707" t="s">
        <v>706</v>
      </c>
      <c r="L48" s="686" t="s">
        <v>707</v>
      </c>
      <c r="M48" s="780"/>
      <c r="N48" s="686"/>
      <c r="O48" s="686"/>
      <c r="P48" s="699">
        <v>2025.3</v>
      </c>
      <c r="Q48" s="699">
        <v>2025.4</v>
      </c>
      <c r="R48" s="699" t="s">
        <v>136</v>
      </c>
      <c r="S48" s="699">
        <v>2026.12</v>
      </c>
      <c r="T48" s="707"/>
    </row>
    <row r="49" spans="1:20" hidden="1">
      <c r="A49" s="777" t="s">
        <v>201</v>
      </c>
      <c r="B49" s="690" t="s">
        <v>680</v>
      </c>
      <c r="C49" s="687"/>
      <c r="D49" s="688">
        <f>'[2]总投资-发采购-0411-GLP拆分场外费用(司调)'!G177</f>
        <v>204.87935999999999</v>
      </c>
      <c r="E49" s="693">
        <f t="shared" si="3"/>
        <v>28.815662447257381</v>
      </c>
      <c r="F49" s="689">
        <f t="shared" si="0"/>
        <v>28.815662447257381</v>
      </c>
      <c r="G49" s="689">
        <f t="shared" si="1"/>
        <v>204.87935999999999</v>
      </c>
      <c r="H49" s="686" t="s">
        <v>704</v>
      </c>
      <c r="I49" s="686" t="s">
        <v>30</v>
      </c>
      <c r="J49" s="686" t="s">
        <v>705</v>
      </c>
      <c r="K49" s="707" t="s">
        <v>706</v>
      </c>
      <c r="L49" s="686" t="s">
        <v>707</v>
      </c>
      <c r="M49" s="780"/>
      <c r="N49" s="686"/>
      <c r="O49" s="686"/>
      <c r="P49" s="699">
        <v>2025.3</v>
      </c>
      <c r="Q49" s="699">
        <v>2025.4</v>
      </c>
      <c r="R49" s="699" t="s">
        <v>136</v>
      </c>
      <c r="S49" s="699">
        <v>2026.12</v>
      </c>
      <c r="T49" s="707"/>
    </row>
    <row r="50" spans="1:20" hidden="1">
      <c r="A50" s="777" t="s">
        <v>202</v>
      </c>
      <c r="B50" s="690" t="s">
        <v>681</v>
      </c>
      <c r="C50" s="687"/>
      <c r="D50" s="688">
        <f>'[2]总投资-发采购-0411-GLP拆分场外费用(司调)'!G178</f>
        <v>453.66144000000003</v>
      </c>
      <c r="E50" s="693">
        <f t="shared" si="3"/>
        <v>63.806109704641351</v>
      </c>
      <c r="F50" s="689">
        <f t="shared" si="0"/>
        <v>63.806109704641351</v>
      </c>
      <c r="G50" s="689">
        <f t="shared" si="1"/>
        <v>453.66144000000003</v>
      </c>
      <c r="H50" s="686" t="s">
        <v>704</v>
      </c>
      <c r="I50" s="686" t="s">
        <v>30</v>
      </c>
      <c r="J50" s="686" t="s">
        <v>705</v>
      </c>
      <c r="K50" s="707" t="s">
        <v>706</v>
      </c>
      <c r="L50" s="686" t="s">
        <v>707</v>
      </c>
      <c r="M50" s="780"/>
      <c r="N50" s="686"/>
      <c r="O50" s="686"/>
      <c r="P50" s="699">
        <v>2025.3</v>
      </c>
      <c r="Q50" s="699">
        <v>2025.4</v>
      </c>
      <c r="R50" s="699" t="s">
        <v>136</v>
      </c>
      <c r="S50" s="699">
        <v>2026.12</v>
      </c>
      <c r="T50" s="707"/>
    </row>
    <row r="51" spans="1:20" hidden="1">
      <c r="A51" s="777" t="s">
        <v>203</v>
      </c>
      <c r="B51" s="690" t="s">
        <v>682</v>
      </c>
      <c r="C51" s="687"/>
      <c r="D51" s="688">
        <f>'[2]总投资-发采购-0411-GLP拆分场外费用(司调)'!G179</f>
        <v>125.01274900539801</v>
      </c>
      <c r="E51" s="693">
        <f t="shared" si="3"/>
        <v>17.582665120309141</v>
      </c>
      <c r="F51" s="689">
        <f t="shared" si="0"/>
        <v>17.582665120309141</v>
      </c>
      <c r="G51" s="689">
        <f t="shared" si="1"/>
        <v>125.01274900539801</v>
      </c>
      <c r="H51" s="686" t="s">
        <v>704</v>
      </c>
      <c r="I51" s="686" t="s">
        <v>30</v>
      </c>
      <c r="J51" s="686" t="s">
        <v>705</v>
      </c>
      <c r="K51" s="707" t="s">
        <v>706</v>
      </c>
      <c r="L51" s="686" t="s">
        <v>707</v>
      </c>
      <c r="M51" s="780"/>
      <c r="N51" s="686"/>
      <c r="O51" s="686"/>
      <c r="P51" s="699">
        <v>2025.3</v>
      </c>
      <c r="Q51" s="699">
        <v>2025.4</v>
      </c>
      <c r="R51" s="699" t="s">
        <v>136</v>
      </c>
      <c r="S51" s="699">
        <v>2026.12</v>
      </c>
      <c r="T51" s="707"/>
    </row>
    <row r="52" spans="1:20" hidden="1">
      <c r="A52" s="777" t="s">
        <v>204</v>
      </c>
      <c r="B52" s="690" t="s">
        <v>683</v>
      </c>
      <c r="C52" s="687"/>
      <c r="D52" s="688">
        <f>'[2]总投资-发采购-0411-GLP拆分场外费用(司调)'!G180</f>
        <v>457.32</v>
      </c>
      <c r="E52" s="693">
        <f t="shared" si="3"/>
        <v>64.320675105485222</v>
      </c>
      <c r="F52" s="689">
        <f t="shared" si="0"/>
        <v>64.320675105485222</v>
      </c>
      <c r="G52" s="689">
        <f t="shared" si="1"/>
        <v>457.32</v>
      </c>
      <c r="H52" s="686" t="s">
        <v>704</v>
      </c>
      <c r="I52" s="686" t="s">
        <v>30</v>
      </c>
      <c r="J52" s="686" t="s">
        <v>705</v>
      </c>
      <c r="K52" s="707" t="s">
        <v>706</v>
      </c>
      <c r="L52" s="686" t="s">
        <v>707</v>
      </c>
      <c r="M52" s="780"/>
      <c r="N52" s="686"/>
      <c r="O52" s="686"/>
      <c r="P52" s="699">
        <v>2025.3</v>
      </c>
      <c r="Q52" s="699">
        <v>2025.4</v>
      </c>
      <c r="R52" s="699" t="s">
        <v>136</v>
      </c>
      <c r="S52" s="699">
        <v>2026.12</v>
      </c>
      <c r="T52" s="707"/>
    </row>
    <row r="53" spans="1:20" hidden="1">
      <c r="A53" s="777"/>
      <c r="B53" s="779" t="s">
        <v>205</v>
      </c>
      <c r="C53" s="687"/>
      <c r="D53" s="688">
        <f>'[2]总投资-发采购-0411-GLP拆分场外费用(司调)'!G181</f>
        <v>1015.78677480099</v>
      </c>
      <c r="E53" s="693">
        <f t="shared" si="3"/>
        <v>142.86733822798732</v>
      </c>
      <c r="F53" s="689">
        <f t="shared" si="0"/>
        <v>142.86733822798732</v>
      </c>
      <c r="G53" s="689">
        <f t="shared" si="1"/>
        <v>1015.78677480099</v>
      </c>
      <c r="H53" s="686"/>
      <c r="I53" s="686"/>
      <c r="J53" s="686"/>
      <c r="K53" s="707"/>
      <c r="L53" s="686"/>
      <c r="M53" s="780"/>
      <c r="N53" s="686"/>
      <c r="O53" s="686"/>
      <c r="P53" s="699"/>
      <c r="Q53" s="699"/>
      <c r="R53" s="699"/>
      <c r="S53" s="699"/>
      <c r="T53" s="707"/>
    </row>
    <row r="54" spans="1:20" hidden="1">
      <c r="A54" s="777" t="s">
        <v>206</v>
      </c>
      <c r="B54" s="690" t="s">
        <v>685</v>
      </c>
      <c r="C54" s="687"/>
      <c r="D54" s="688">
        <f>'[2]总投资-发采购-0411-GLP拆分场外费用(司调)'!G182</f>
        <v>57</v>
      </c>
      <c r="E54" s="693">
        <f t="shared" si="3"/>
        <v>8.0168776371308006</v>
      </c>
      <c r="F54" s="689">
        <f t="shared" si="0"/>
        <v>8.0168776371308006</v>
      </c>
      <c r="G54" s="689">
        <f t="shared" si="1"/>
        <v>57</v>
      </c>
      <c r="H54" s="686" t="s">
        <v>704</v>
      </c>
      <c r="I54" s="686" t="s">
        <v>30</v>
      </c>
      <c r="J54" s="686" t="s">
        <v>705</v>
      </c>
      <c r="K54" s="707" t="s">
        <v>706</v>
      </c>
      <c r="L54" s="686" t="s">
        <v>707</v>
      </c>
      <c r="M54" s="780"/>
      <c r="N54" s="686"/>
      <c r="O54" s="686"/>
      <c r="P54" s="699">
        <v>2025.3</v>
      </c>
      <c r="Q54" s="699">
        <v>2025.4</v>
      </c>
      <c r="R54" s="699" t="s">
        <v>136</v>
      </c>
      <c r="S54" s="699">
        <v>2026.12</v>
      </c>
      <c r="T54" s="707"/>
    </row>
    <row r="55" spans="1:20" hidden="1">
      <c r="A55" s="778"/>
      <c r="B55" s="690" t="s">
        <v>686</v>
      </c>
      <c r="C55" s="687"/>
      <c r="D55" s="688">
        <f>'[2]总投资-发采购-0411-GLP拆分场外费用(司调)'!G183</f>
        <v>1</v>
      </c>
      <c r="E55" s="693">
        <f t="shared" si="3"/>
        <v>0.14064697609001406</v>
      </c>
      <c r="F55" s="689">
        <f t="shared" si="0"/>
        <v>0.14064697609001406</v>
      </c>
      <c r="G55" s="689">
        <f t="shared" si="1"/>
        <v>1</v>
      </c>
      <c r="H55" s="686" t="s">
        <v>704</v>
      </c>
      <c r="I55" s="686" t="s">
        <v>30</v>
      </c>
      <c r="J55" s="686" t="s">
        <v>705</v>
      </c>
      <c r="K55" s="707" t="s">
        <v>706</v>
      </c>
      <c r="L55" s="686" t="s">
        <v>707</v>
      </c>
      <c r="M55" s="780"/>
      <c r="N55" s="686"/>
      <c r="O55" s="686"/>
      <c r="P55" s="699">
        <v>2025.3</v>
      </c>
      <c r="Q55" s="699">
        <v>2025.4</v>
      </c>
      <c r="R55" s="699" t="s">
        <v>136</v>
      </c>
      <c r="S55" s="699">
        <v>2026.12</v>
      </c>
      <c r="T55" s="707"/>
    </row>
    <row r="56" spans="1:20" hidden="1">
      <c r="A56" s="778"/>
      <c r="B56" s="690" t="s">
        <v>687</v>
      </c>
      <c r="C56" s="687"/>
      <c r="D56" s="688">
        <f>'[2]总投资-发采购-0411-GLP拆分场外费用(司调)'!G184</f>
        <v>9</v>
      </c>
      <c r="E56" s="693">
        <f t="shared" si="3"/>
        <v>1.2658227848101264</v>
      </c>
      <c r="F56" s="689">
        <f t="shared" si="0"/>
        <v>1.2658227848101264</v>
      </c>
      <c r="G56" s="689">
        <f t="shared" si="1"/>
        <v>9</v>
      </c>
      <c r="H56" s="686" t="s">
        <v>704</v>
      </c>
      <c r="I56" s="686" t="s">
        <v>30</v>
      </c>
      <c r="J56" s="686" t="s">
        <v>705</v>
      </c>
      <c r="K56" s="707" t="s">
        <v>706</v>
      </c>
      <c r="L56" s="686" t="s">
        <v>707</v>
      </c>
      <c r="M56" s="780"/>
      <c r="N56" s="686"/>
      <c r="O56" s="686"/>
      <c r="P56" s="699">
        <v>2025.3</v>
      </c>
      <c r="Q56" s="699">
        <v>2025.4</v>
      </c>
      <c r="R56" s="699" t="s">
        <v>136</v>
      </c>
      <c r="S56" s="699">
        <v>2026.12</v>
      </c>
      <c r="T56" s="707"/>
    </row>
    <row r="57" spans="1:20" hidden="1">
      <c r="A57" s="778"/>
      <c r="B57" s="690" t="s">
        <v>688</v>
      </c>
      <c r="C57" s="687"/>
      <c r="D57" s="688">
        <f>'[2]总投资-发采购-0411-GLP拆分场外费用(司调)'!G185</f>
        <v>47</v>
      </c>
      <c r="E57" s="693">
        <f t="shared" si="3"/>
        <v>6.6104078762306608</v>
      </c>
      <c r="F57" s="689">
        <f t="shared" si="0"/>
        <v>6.6104078762306608</v>
      </c>
      <c r="G57" s="689">
        <f t="shared" si="1"/>
        <v>47</v>
      </c>
      <c r="H57" s="686" t="s">
        <v>704</v>
      </c>
      <c r="I57" s="686" t="s">
        <v>30</v>
      </c>
      <c r="J57" s="686" t="s">
        <v>705</v>
      </c>
      <c r="K57" s="707" t="s">
        <v>706</v>
      </c>
      <c r="L57" s="686" t="s">
        <v>707</v>
      </c>
      <c r="M57" s="780"/>
      <c r="N57" s="686"/>
      <c r="O57" s="686"/>
      <c r="P57" s="699">
        <v>2025.3</v>
      </c>
      <c r="Q57" s="699">
        <v>2025.4</v>
      </c>
      <c r="R57" s="699" t="s">
        <v>136</v>
      </c>
      <c r="S57" s="699">
        <v>2026.12</v>
      </c>
      <c r="T57" s="707"/>
    </row>
    <row r="58" spans="1:20" hidden="1">
      <c r="A58" s="778">
        <v>2.16</v>
      </c>
      <c r="B58" s="690" t="s">
        <v>708</v>
      </c>
      <c r="C58" s="687"/>
      <c r="D58" s="688">
        <f>'[2]总投资-发采购-0411-GLP拆分场外费用(司调)'!G173</f>
        <v>11277.360138763701</v>
      </c>
      <c r="E58" s="693">
        <f t="shared" si="3"/>
        <v>1586.1266017951759</v>
      </c>
      <c r="F58" s="689">
        <f t="shared" si="0"/>
        <v>1586.1266017951759</v>
      </c>
      <c r="G58" s="689">
        <f t="shared" si="1"/>
        <v>11277.360138763701</v>
      </c>
      <c r="H58" s="686" t="s">
        <v>704</v>
      </c>
      <c r="I58" s="686" t="s">
        <v>30</v>
      </c>
      <c r="J58" s="686" t="s">
        <v>705</v>
      </c>
      <c r="K58" s="707" t="s">
        <v>706</v>
      </c>
      <c r="L58" s="686" t="s">
        <v>707</v>
      </c>
      <c r="M58" s="780"/>
      <c r="N58" s="686"/>
      <c r="O58" s="686"/>
      <c r="P58" s="699">
        <v>2025.3</v>
      </c>
      <c r="Q58" s="699">
        <v>2025.4</v>
      </c>
      <c r="R58" s="699" t="s">
        <v>136</v>
      </c>
      <c r="S58" s="699">
        <v>2026.12</v>
      </c>
      <c r="T58" s="707"/>
    </row>
    <row r="59" spans="1:20" hidden="1">
      <c r="A59" s="777" t="s">
        <v>208</v>
      </c>
      <c r="B59" s="690" t="s">
        <v>677</v>
      </c>
      <c r="C59" s="687"/>
      <c r="D59" s="688">
        <f>'[2]总投资-发采购-0411-GLP拆分场外费用(司调)'!G174</f>
        <v>8671.0150149573092</v>
      </c>
      <c r="E59" s="693">
        <f t="shared" si="3"/>
        <v>1219.5520414848536</v>
      </c>
      <c r="F59" s="689">
        <f t="shared" si="0"/>
        <v>1219.5520414848536</v>
      </c>
      <c r="G59" s="689">
        <f t="shared" si="1"/>
        <v>8671.0150149573092</v>
      </c>
      <c r="H59" s="686" t="s">
        <v>704</v>
      </c>
      <c r="I59" s="686" t="s">
        <v>30</v>
      </c>
      <c r="J59" s="686" t="s">
        <v>705</v>
      </c>
      <c r="K59" s="707" t="s">
        <v>706</v>
      </c>
      <c r="L59" s="686" t="s">
        <v>707</v>
      </c>
      <c r="M59" s="780"/>
      <c r="N59" s="686"/>
      <c r="O59" s="686"/>
      <c r="P59" s="699">
        <v>2025.3</v>
      </c>
      <c r="Q59" s="699">
        <v>2025.4</v>
      </c>
      <c r="R59" s="699" t="s">
        <v>136</v>
      </c>
      <c r="S59" s="699">
        <v>2026.12</v>
      </c>
      <c r="T59" s="707"/>
    </row>
    <row r="60" spans="1:20" hidden="1">
      <c r="A60" s="777" t="s">
        <v>209</v>
      </c>
      <c r="B60" s="690" t="s">
        <v>678</v>
      </c>
      <c r="C60" s="687"/>
      <c r="D60" s="688">
        <f>'[2]总投资-发采购-0411-GLP拆分场外费用(司调)'!G175</f>
        <v>29.26848</v>
      </c>
      <c r="E60" s="693">
        <f t="shared" si="3"/>
        <v>4.1165232067510544</v>
      </c>
      <c r="F60" s="689">
        <f t="shared" si="0"/>
        <v>4.1165232067510544</v>
      </c>
      <c r="G60" s="689">
        <f t="shared" si="1"/>
        <v>29.26848</v>
      </c>
      <c r="H60" s="686" t="s">
        <v>704</v>
      </c>
      <c r="I60" s="686" t="s">
        <v>30</v>
      </c>
      <c r="J60" s="686" t="s">
        <v>705</v>
      </c>
      <c r="K60" s="707" t="s">
        <v>706</v>
      </c>
      <c r="L60" s="686" t="s">
        <v>707</v>
      </c>
      <c r="M60" s="780"/>
      <c r="N60" s="686"/>
      <c r="O60" s="686"/>
      <c r="P60" s="699">
        <v>2025.3</v>
      </c>
      <c r="Q60" s="699">
        <v>2025.4</v>
      </c>
      <c r="R60" s="699" t="s">
        <v>136</v>
      </c>
      <c r="S60" s="699">
        <v>2026.12</v>
      </c>
      <c r="T60" s="707"/>
    </row>
    <row r="61" spans="1:20" hidden="1">
      <c r="A61" s="777" t="s">
        <v>210</v>
      </c>
      <c r="B61" s="690" t="s">
        <v>679</v>
      </c>
      <c r="C61" s="687"/>
      <c r="D61" s="688">
        <f>'[2]总投资-发采购-0411-GLP拆分场外费用(司调)'!G176</f>
        <v>263.41631999999998</v>
      </c>
      <c r="E61" s="693">
        <f t="shared" si="3"/>
        <v>37.04870886075949</v>
      </c>
      <c r="F61" s="689">
        <f t="shared" si="0"/>
        <v>37.04870886075949</v>
      </c>
      <c r="G61" s="689">
        <f t="shared" si="1"/>
        <v>263.41631999999998</v>
      </c>
      <c r="H61" s="686" t="s">
        <v>704</v>
      </c>
      <c r="I61" s="686" t="s">
        <v>30</v>
      </c>
      <c r="J61" s="686" t="s">
        <v>705</v>
      </c>
      <c r="K61" s="707" t="s">
        <v>706</v>
      </c>
      <c r="L61" s="686" t="s">
        <v>707</v>
      </c>
      <c r="M61" s="780"/>
      <c r="N61" s="686"/>
      <c r="O61" s="686"/>
      <c r="P61" s="699">
        <v>2025.3</v>
      </c>
      <c r="Q61" s="699">
        <v>2025.4</v>
      </c>
      <c r="R61" s="699" t="s">
        <v>136</v>
      </c>
      <c r="S61" s="699">
        <v>2026.12</v>
      </c>
      <c r="T61" s="707"/>
    </row>
    <row r="62" spans="1:20" hidden="1">
      <c r="A62" s="777" t="s">
        <v>211</v>
      </c>
      <c r="B62" s="690" t="s">
        <v>680</v>
      </c>
      <c r="C62" s="687"/>
      <c r="D62" s="688">
        <f>'[2]总投资-发采购-0411-GLP拆分场外费用(司调)'!G177</f>
        <v>204.87935999999999</v>
      </c>
      <c r="E62" s="693">
        <f t="shared" si="3"/>
        <v>28.815662447257381</v>
      </c>
      <c r="F62" s="689">
        <f t="shared" si="0"/>
        <v>28.815662447257381</v>
      </c>
      <c r="G62" s="689">
        <f t="shared" si="1"/>
        <v>204.87935999999999</v>
      </c>
      <c r="H62" s="686" t="s">
        <v>704</v>
      </c>
      <c r="I62" s="686" t="s">
        <v>30</v>
      </c>
      <c r="J62" s="686" t="s">
        <v>705</v>
      </c>
      <c r="K62" s="707" t="s">
        <v>706</v>
      </c>
      <c r="L62" s="686" t="s">
        <v>707</v>
      </c>
      <c r="M62" s="780"/>
      <c r="N62" s="686"/>
      <c r="O62" s="686"/>
      <c r="P62" s="699">
        <v>2025.3</v>
      </c>
      <c r="Q62" s="699">
        <v>2025.4</v>
      </c>
      <c r="R62" s="699" t="s">
        <v>136</v>
      </c>
      <c r="S62" s="699">
        <v>2026.12</v>
      </c>
      <c r="T62" s="707"/>
    </row>
    <row r="63" spans="1:20" hidden="1">
      <c r="A63" s="777" t="s">
        <v>212</v>
      </c>
      <c r="B63" s="690" t="s">
        <v>681</v>
      </c>
      <c r="C63" s="687"/>
      <c r="D63" s="688">
        <f>'[2]总投资-发采购-0411-GLP拆分场外费用(司调)'!G178</f>
        <v>453.66144000000003</v>
      </c>
      <c r="E63" s="693">
        <f t="shared" si="3"/>
        <v>63.806109704641351</v>
      </c>
      <c r="F63" s="689">
        <f t="shared" si="0"/>
        <v>63.806109704641351</v>
      </c>
      <c r="G63" s="689">
        <f t="shared" si="1"/>
        <v>453.66144000000003</v>
      </c>
      <c r="H63" s="686" t="s">
        <v>704</v>
      </c>
      <c r="I63" s="686" t="s">
        <v>30</v>
      </c>
      <c r="J63" s="686" t="s">
        <v>705</v>
      </c>
      <c r="K63" s="707" t="s">
        <v>706</v>
      </c>
      <c r="L63" s="686" t="s">
        <v>707</v>
      </c>
      <c r="M63" s="780"/>
      <c r="N63" s="686"/>
      <c r="O63" s="686"/>
      <c r="P63" s="699">
        <v>2025.3</v>
      </c>
      <c r="Q63" s="699">
        <v>2025.4</v>
      </c>
      <c r="R63" s="699" t="s">
        <v>136</v>
      </c>
      <c r="S63" s="699">
        <v>2026.12</v>
      </c>
      <c r="T63" s="707"/>
    </row>
    <row r="64" spans="1:20" hidden="1">
      <c r="A64" s="777" t="s">
        <v>213</v>
      </c>
      <c r="B64" s="690" t="s">
        <v>682</v>
      </c>
      <c r="C64" s="687"/>
      <c r="D64" s="688">
        <f>'[2]总投资-发采购-0411-GLP拆分场外费用(司调)'!G179</f>
        <v>125.01274900539801</v>
      </c>
      <c r="E64" s="693">
        <f t="shared" si="3"/>
        <v>17.582665120309141</v>
      </c>
      <c r="F64" s="689">
        <f t="shared" si="0"/>
        <v>17.582665120309141</v>
      </c>
      <c r="G64" s="689">
        <f t="shared" si="1"/>
        <v>125.01274900539801</v>
      </c>
      <c r="H64" s="686" t="s">
        <v>704</v>
      </c>
      <c r="I64" s="686" t="s">
        <v>30</v>
      </c>
      <c r="J64" s="686" t="s">
        <v>705</v>
      </c>
      <c r="K64" s="707" t="s">
        <v>706</v>
      </c>
      <c r="L64" s="686" t="s">
        <v>707</v>
      </c>
      <c r="M64" s="780"/>
      <c r="N64" s="686"/>
      <c r="O64" s="686"/>
      <c r="P64" s="699">
        <v>2025.3</v>
      </c>
      <c r="Q64" s="699">
        <v>2025.4</v>
      </c>
      <c r="R64" s="699" t="s">
        <v>136</v>
      </c>
      <c r="S64" s="699">
        <v>2026.12</v>
      </c>
      <c r="T64" s="707"/>
    </row>
    <row r="65" spans="1:20" hidden="1">
      <c r="A65" s="777" t="s">
        <v>214</v>
      </c>
      <c r="B65" s="690" t="s">
        <v>683</v>
      </c>
      <c r="C65" s="687"/>
      <c r="D65" s="688">
        <f>'[2]总投资-发采购-0411-GLP拆分场外费用(司调)'!G180</f>
        <v>457.32</v>
      </c>
      <c r="E65" s="693">
        <f t="shared" si="3"/>
        <v>64.320675105485222</v>
      </c>
      <c r="F65" s="689">
        <f t="shared" si="0"/>
        <v>64.320675105485222</v>
      </c>
      <c r="G65" s="689">
        <f t="shared" si="1"/>
        <v>457.32</v>
      </c>
      <c r="H65" s="686" t="s">
        <v>704</v>
      </c>
      <c r="I65" s="686" t="s">
        <v>30</v>
      </c>
      <c r="J65" s="686" t="s">
        <v>705</v>
      </c>
      <c r="K65" s="707" t="s">
        <v>706</v>
      </c>
      <c r="L65" s="686" t="s">
        <v>707</v>
      </c>
      <c r="M65" s="780"/>
      <c r="N65" s="686"/>
      <c r="O65" s="686"/>
      <c r="P65" s="699">
        <v>2025.3</v>
      </c>
      <c r="Q65" s="699">
        <v>2025.4</v>
      </c>
      <c r="R65" s="699" t="s">
        <v>136</v>
      </c>
      <c r="S65" s="699">
        <v>2026.12</v>
      </c>
      <c r="T65" s="707"/>
    </row>
    <row r="66" spans="1:20" hidden="1">
      <c r="A66" s="777"/>
      <c r="B66" s="779" t="s">
        <v>205</v>
      </c>
      <c r="C66" s="687"/>
      <c r="D66" s="688">
        <f>'[2]总投资-发采购-0411-GLP拆分场外费用(司调)'!G181</f>
        <v>1015.78677480099</v>
      </c>
      <c r="E66" s="693">
        <f t="shared" si="3"/>
        <v>142.86733822798732</v>
      </c>
      <c r="F66" s="689">
        <f t="shared" si="0"/>
        <v>142.86733822798732</v>
      </c>
      <c r="G66" s="689">
        <f t="shared" si="1"/>
        <v>1015.78677480099</v>
      </c>
      <c r="H66" s="686"/>
      <c r="I66" s="686"/>
      <c r="J66" s="686"/>
      <c r="K66" s="707"/>
      <c r="L66" s="686"/>
      <c r="M66" s="780"/>
      <c r="N66" s="686"/>
      <c r="O66" s="686"/>
      <c r="P66" s="699"/>
      <c r="Q66" s="699"/>
      <c r="R66" s="699"/>
      <c r="S66" s="699"/>
      <c r="T66" s="707"/>
    </row>
    <row r="67" spans="1:20" hidden="1">
      <c r="A67" s="777" t="s">
        <v>215</v>
      </c>
      <c r="B67" s="690" t="s">
        <v>685</v>
      </c>
      <c r="C67" s="687"/>
      <c r="D67" s="688">
        <f>'[2]总投资-发采购-0411-GLP拆分场外费用(司调)'!G182</f>
        <v>57</v>
      </c>
      <c r="E67" s="693">
        <f t="shared" si="3"/>
        <v>8.0168776371308006</v>
      </c>
      <c r="F67" s="689">
        <f t="shared" si="0"/>
        <v>8.0168776371308006</v>
      </c>
      <c r="G67" s="689">
        <f t="shared" si="1"/>
        <v>57</v>
      </c>
      <c r="H67" s="686" t="s">
        <v>704</v>
      </c>
      <c r="I67" s="686" t="s">
        <v>30</v>
      </c>
      <c r="J67" s="686" t="s">
        <v>705</v>
      </c>
      <c r="K67" s="707" t="s">
        <v>706</v>
      </c>
      <c r="L67" s="686" t="s">
        <v>707</v>
      </c>
      <c r="M67" s="780"/>
      <c r="N67" s="686"/>
      <c r="O67" s="686"/>
      <c r="P67" s="699">
        <v>2025.3</v>
      </c>
      <c r="Q67" s="699">
        <v>2025.4</v>
      </c>
      <c r="R67" s="699" t="s">
        <v>136</v>
      </c>
      <c r="S67" s="699">
        <v>2026.12</v>
      </c>
      <c r="T67" s="707"/>
    </row>
    <row r="68" spans="1:20" hidden="1">
      <c r="A68" s="777"/>
      <c r="B68" s="690" t="s">
        <v>686</v>
      </c>
      <c r="C68" s="687"/>
      <c r="D68" s="688">
        <f>'[2]总投资-发采购-0411-GLP拆分场外费用(司调)'!G183</f>
        <v>1</v>
      </c>
      <c r="E68" s="693">
        <f t="shared" si="3"/>
        <v>0.14064697609001406</v>
      </c>
      <c r="F68" s="689">
        <f t="shared" si="0"/>
        <v>0.14064697609001406</v>
      </c>
      <c r="G68" s="689">
        <f t="shared" si="1"/>
        <v>1</v>
      </c>
      <c r="H68" s="686" t="s">
        <v>704</v>
      </c>
      <c r="I68" s="686" t="s">
        <v>30</v>
      </c>
      <c r="J68" s="686" t="s">
        <v>705</v>
      </c>
      <c r="K68" s="707" t="s">
        <v>706</v>
      </c>
      <c r="L68" s="686" t="s">
        <v>707</v>
      </c>
      <c r="M68" s="780"/>
      <c r="N68" s="686"/>
      <c r="O68" s="686"/>
      <c r="P68" s="699">
        <v>2025.3</v>
      </c>
      <c r="Q68" s="699">
        <v>2025.4</v>
      </c>
      <c r="R68" s="699" t="s">
        <v>136</v>
      </c>
      <c r="S68" s="699">
        <v>2026.12</v>
      </c>
      <c r="T68" s="707"/>
    </row>
    <row r="69" spans="1:20" hidden="1">
      <c r="A69" s="777"/>
      <c r="B69" s="690" t="s">
        <v>687</v>
      </c>
      <c r="C69" s="687"/>
      <c r="D69" s="688">
        <f>'[2]总投资-发采购-0411-GLP拆分场外费用(司调)'!G184</f>
        <v>9</v>
      </c>
      <c r="E69" s="693">
        <f t="shared" si="3"/>
        <v>1.2658227848101264</v>
      </c>
      <c r="F69" s="689">
        <f t="shared" si="0"/>
        <v>1.2658227848101264</v>
      </c>
      <c r="G69" s="689">
        <f t="shared" si="1"/>
        <v>9</v>
      </c>
      <c r="H69" s="686" t="s">
        <v>704</v>
      </c>
      <c r="I69" s="686" t="s">
        <v>30</v>
      </c>
      <c r="J69" s="686" t="s">
        <v>705</v>
      </c>
      <c r="K69" s="707" t="s">
        <v>706</v>
      </c>
      <c r="L69" s="686" t="s">
        <v>707</v>
      </c>
      <c r="M69" s="780"/>
      <c r="N69" s="686"/>
      <c r="O69" s="686"/>
      <c r="P69" s="699">
        <v>2025.3</v>
      </c>
      <c r="Q69" s="699">
        <v>2025.4</v>
      </c>
      <c r="R69" s="699" t="s">
        <v>136</v>
      </c>
      <c r="S69" s="699">
        <v>2026.12</v>
      </c>
      <c r="T69" s="707"/>
    </row>
    <row r="70" spans="1:20" hidden="1">
      <c r="A70" s="777"/>
      <c r="B70" s="690" t="s">
        <v>688</v>
      </c>
      <c r="C70" s="687"/>
      <c r="D70" s="688">
        <f>'[2]总投资-发采购-0411-GLP拆分场外费用(司调)'!G185</f>
        <v>47</v>
      </c>
      <c r="E70" s="693">
        <f t="shared" si="3"/>
        <v>6.6104078762306608</v>
      </c>
      <c r="F70" s="689">
        <f t="shared" si="0"/>
        <v>6.6104078762306608</v>
      </c>
      <c r="G70" s="689">
        <f t="shared" si="1"/>
        <v>47</v>
      </c>
      <c r="H70" s="686" t="s">
        <v>704</v>
      </c>
      <c r="I70" s="686" t="s">
        <v>30</v>
      </c>
      <c r="J70" s="686" t="s">
        <v>705</v>
      </c>
      <c r="K70" s="707" t="s">
        <v>706</v>
      </c>
      <c r="L70" s="686" t="s">
        <v>707</v>
      </c>
      <c r="M70" s="780"/>
      <c r="N70" s="686"/>
      <c r="O70" s="686"/>
      <c r="P70" s="699">
        <v>2025.3</v>
      </c>
      <c r="Q70" s="699">
        <v>2025.4</v>
      </c>
      <c r="R70" s="699" t="s">
        <v>136</v>
      </c>
      <c r="S70" s="699">
        <v>2026.12</v>
      </c>
      <c r="T70" s="707"/>
    </row>
    <row r="71" spans="1:20" hidden="1">
      <c r="A71" s="777" t="s">
        <v>216</v>
      </c>
      <c r="B71" s="690" t="s">
        <v>709</v>
      </c>
      <c r="C71" s="687"/>
      <c r="D71" s="688">
        <f>'[2]总投资-发采购-0411-GLP拆分场外费用(司调)'!G202</f>
        <v>4178.7488000000003</v>
      </c>
      <c r="E71" s="693">
        <f t="shared" si="3"/>
        <v>587.72838255977501</v>
      </c>
      <c r="F71" s="689">
        <f t="shared" si="0"/>
        <v>587.72838255977501</v>
      </c>
      <c r="G71" s="689">
        <f t="shared" si="1"/>
        <v>4178.7488000000003</v>
      </c>
      <c r="H71" s="686"/>
      <c r="I71" s="686"/>
      <c r="J71" s="686"/>
      <c r="K71" s="707"/>
      <c r="L71" s="686"/>
      <c r="M71" s="780"/>
      <c r="N71" s="686"/>
      <c r="O71" s="686"/>
      <c r="P71" s="699"/>
      <c r="Q71" s="699"/>
      <c r="R71" s="699"/>
      <c r="S71" s="699"/>
      <c r="T71" s="707"/>
    </row>
    <row r="72" spans="1:20" hidden="1">
      <c r="A72" s="777" t="s">
        <v>218</v>
      </c>
      <c r="B72" s="690" t="s">
        <v>710</v>
      </c>
      <c r="C72" s="687"/>
      <c r="D72" s="688">
        <f>'[2]总投资-发采购-0411-GLP拆分场外费用(司调)'!G203</f>
        <v>4053.386336</v>
      </c>
      <c r="E72" s="693">
        <f t="shared" ref="E72:E75" si="4">D72/$A$3</f>
        <v>570.09653108298164</v>
      </c>
      <c r="F72" s="689">
        <f t="shared" ref="F72:F143" si="5">E72</f>
        <v>570.09653108298164</v>
      </c>
      <c r="G72" s="689">
        <f t="shared" ref="G72:G135" si="6">D72</f>
        <v>4053.386336</v>
      </c>
      <c r="H72" s="686"/>
      <c r="I72" s="686"/>
      <c r="J72" s="686"/>
      <c r="K72" s="707"/>
      <c r="L72" s="686"/>
      <c r="M72" s="780"/>
      <c r="N72" s="686"/>
      <c r="O72" s="686"/>
      <c r="P72" s="699"/>
      <c r="Q72" s="699"/>
      <c r="R72" s="699"/>
      <c r="S72" s="699"/>
      <c r="T72" s="707"/>
    </row>
    <row r="73" spans="1:20" hidden="1">
      <c r="A73" s="777" t="s">
        <v>220</v>
      </c>
      <c r="B73" s="690" t="s">
        <v>711</v>
      </c>
      <c r="C73" s="687"/>
      <c r="D73" s="688">
        <f>'[2]总投资-发采购-0411-GLP拆分场外费用(司调)'!G204</f>
        <v>125.362464</v>
      </c>
      <c r="E73" s="693">
        <f t="shared" si="4"/>
        <v>17.631851476793248</v>
      </c>
      <c r="F73" s="689">
        <f t="shared" si="5"/>
        <v>17.631851476793248</v>
      </c>
      <c r="G73" s="689">
        <f t="shared" si="6"/>
        <v>125.362464</v>
      </c>
      <c r="H73" s="686"/>
      <c r="I73" s="686"/>
      <c r="J73" s="686"/>
      <c r="K73" s="707"/>
      <c r="L73" s="686"/>
      <c r="M73" s="780"/>
      <c r="N73" s="686"/>
      <c r="O73" s="686"/>
      <c r="P73" s="699"/>
      <c r="Q73" s="699"/>
      <c r="R73" s="699"/>
      <c r="S73" s="699"/>
      <c r="T73" s="707"/>
    </row>
    <row r="74" spans="1:20" ht="26.4">
      <c r="A74" s="775" t="s">
        <v>35</v>
      </c>
      <c r="B74" s="683" t="s">
        <v>712</v>
      </c>
      <c r="C74" s="683" t="s">
        <v>713</v>
      </c>
      <c r="D74" s="684">
        <f>SUM('[2]总投资-发采购-0411-GLP拆分场外费用(司调)'!G108,'[2]总投资-发采购-0411-GLP拆分场外费用(司调)'!G121,'[2]总投资-发采购-0411-GLP拆分场外费用(司调)'!G95,'[2]总投资-发采购-0411-GLP拆分场外费用(司调)'!G199)</f>
        <v>54208.013061394893</v>
      </c>
      <c r="E74" s="695">
        <f t="shared" si="4"/>
        <v>7624.1931169331774</v>
      </c>
      <c r="F74" s="685">
        <f t="shared" si="5"/>
        <v>7624.1931169331774</v>
      </c>
      <c r="G74" s="685">
        <f t="shared" si="6"/>
        <v>54208.013061394893</v>
      </c>
      <c r="H74" s="606" t="s">
        <v>133</v>
      </c>
      <c r="I74" s="606" t="s">
        <v>79</v>
      </c>
      <c r="J74" s="606">
        <v>18</v>
      </c>
      <c r="K74" s="697" t="s">
        <v>224</v>
      </c>
      <c r="L74" s="606" t="s">
        <v>135</v>
      </c>
      <c r="M74" s="780"/>
      <c r="N74" s="606"/>
      <c r="O74" s="606"/>
      <c r="P74" s="698" t="s">
        <v>225</v>
      </c>
      <c r="Q74" s="698" t="s">
        <v>226</v>
      </c>
      <c r="R74" s="698" t="s">
        <v>714</v>
      </c>
      <c r="S74" s="698" t="s">
        <v>228</v>
      </c>
      <c r="T74" s="697"/>
    </row>
    <row r="75" spans="1:20" hidden="1">
      <c r="A75" s="777">
        <v>2.1</v>
      </c>
      <c r="B75" s="690" t="s">
        <v>715</v>
      </c>
      <c r="C75" s="687"/>
      <c r="D75" s="688">
        <f>'[2]总投资-发采购-0411-GLP拆分场外费用(司调)'!G108</f>
        <v>15502.4051499249</v>
      </c>
      <c r="E75" s="693">
        <f t="shared" si="4"/>
        <v>2180.3664064591981</v>
      </c>
      <c r="F75" s="689">
        <f t="shared" si="5"/>
        <v>2180.3664064591981</v>
      </c>
      <c r="G75" s="689">
        <f t="shared" si="6"/>
        <v>15502.4051499249</v>
      </c>
      <c r="H75" s="686"/>
      <c r="I75" s="686"/>
      <c r="J75" s="686"/>
      <c r="K75" s="707"/>
      <c r="L75" s="686"/>
      <c r="M75" s="780"/>
      <c r="N75" s="686"/>
      <c r="O75" s="686"/>
      <c r="P75" s="699"/>
      <c r="Q75" s="699"/>
      <c r="R75" s="699"/>
      <c r="S75" s="699"/>
      <c r="T75" s="707"/>
    </row>
    <row r="76" spans="1:20" hidden="1">
      <c r="A76" s="777" t="s">
        <v>230</v>
      </c>
      <c r="B76" s="690" t="s">
        <v>677</v>
      </c>
      <c r="C76" s="687"/>
      <c r="D76" s="688">
        <f>'[2]总投资-发采购-0411-GLP拆分场外费用(司调)'!G109</f>
        <v>12124.859358359399</v>
      </c>
      <c r="E76" s="693">
        <f t="shared" ref="E76:E113" si="7">D76/$A$3</f>
        <v>1705.3248042699577</v>
      </c>
      <c r="F76" s="689">
        <f t="shared" si="5"/>
        <v>1705.3248042699577</v>
      </c>
      <c r="G76" s="689">
        <f t="shared" si="6"/>
        <v>12124.859358359399</v>
      </c>
      <c r="H76" s="686"/>
      <c r="I76" s="686"/>
      <c r="J76" s="686"/>
      <c r="K76" s="707"/>
      <c r="L76" s="686"/>
      <c r="M76" s="780"/>
      <c r="N76" s="686"/>
      <c r="O76" s="686"/>
      <c r="P76" s="699"/>
      <c r="Q76" s="699"/>
      <c r="R76" s="699"/>
      <c r="S76" s="699"/>
      <c r="T76" s="707"/>
    </row>
    <row r="77" spans="1:20" hidden="1">
      <c r="A77" s="777" t="s">
        <v>231</v>
      </c>
      <c r="B77" s="690" t="s">
        <v>678</v>
      </c>
      <c r="C77" s="687"/>
      <c r="D77" s="688">
        <f>'[2]总投资-发采购-0411-GLP拆分场外费用(司调)'!G110</f>
        <v>40.926720000000003</v>
      </c>
      <c r="E77" s="693">
        <f t="shared" si="7"/>
        <v>5.7562194092827008</v>
      </c>
      <c r="F77" s="689">
        <f t="shared" si="5"/>
        <v>5.7562194092827008</v>
      </c>
      <c r="G77" s="689">
        <f t="shared" si="6"/>
        <v>40.926720000000003</v>
      </c>
      <c r="H77" s="686"/>
      <c r="I77" s="686"/>
      <c r="J77" s="686"/>
      <c r="K77" s="707"/>
      <c r="L77" s="686"/>
      <c r="M77" s="780"/>
      <c r="N77" s="686"/>
      <c r="O77" s="686"/>
      <c r="P77" s="699"/>
      <c r="Q77" s="699"/>
      <c r="R77" s="699"/>
      <c r="S77" s="699"/>
      <c r="T77" s="707"/>
    </row>
    <row r="78" spans="1:20" hidden="1">
      <c r="A78" s="777" t="s">
        <v>232</v>
      </c>
      <c r="B78" s="690" t="s">
        <v>679</v>
      </c>
      <c r="C78" s="687"/>
      <c r="D78" s="688">
        <f>'[2]总投资-发采购-0411-GLP拆分场外费用(司调)'!G111</f>
        <v>368.34048000000001</v>
      </c>
      <c r="E78" s="693">
        <f t="shared" si="7"/>
        <v>51.805974683544306</v>
      </c>
      <c r="F78" s="689">
        <f t="shared" si="5"/>
        <v>51.805974683544306</v>
      </c>
      <c r="G78" s="689">
        <f t="shared" si="6"/>
        <v>368.34048000000001</v>
      </c>
      <c r="H78" s="686"/>
      <c r="I78" s="686"/>
      <c r="J78" s="686"/>
      <c r="K78" s="707"/>
      <c r="L78" s="686"/>
      <c r="M78" s="780"/>
      <c r="N78" s="686"/>
      <c r="O78" s="686"/>
      <c r="P78" s="699"/>
      <c r="Q78" s="699"/>
      <c r="R78" s="699"/>
      <c r="S78" s="699"/>
      <c r="T78" s="707"/>
    </row>
    <row r="79" spans="1:20" hidden="1">
      <c r="A79" s="777" t="s">
        <v>233</v>
      </c>
      <c r="B79" s="690" t="s">
        <v>680</v>
      </c>
      <c r="C79" s="687"/>
      <c r="D79" s="688">
        <f>'[2]总投资-发采购-0411-GLP拆分场外费用(司调)'!G112</f>
        <v>286.48703999999998</v>
      </c>
      <c r="E79" s="693">
        <f t="shared" si="7"/>
        <v>40.293535864978899</v>
      </c>
      <c r="F79" s="689">
        <f t="shared" si="5"/>
        <v>40.293535864978899</v>
      </c>
      <c r="G79" s="689">
        <f t="shared" si="6"/>
        <v>286.48703999999998</v>
      </c>
      <c r="H79" s="686"/>
      <c r="I79" s="686"/>
      <c r="J79" s="686"/>
      <c r="K79" s="707"/>
      <c r="L79" s="686"/>
      <c r="M79" s="780"/>
      <c r="N79" s="686"/>
      <c r="O79" s="686"/>
      <c r="P79" s="699"/>
      <c r="Q79" s="699"/>
      <c r="R79" s="699"/>
      <c r="S79" s="699"/>
      <c r="T79" s="707"/>
    </row>
    <row r="80" spans="1:20" hidden="1">
      <c r="A80" s="777" t="s">
        <v>234</v>
      </c>
      <c r="B80" s="690" t="s">
        <v>681</v>
      </c>
      <c r="C80" s="687"/>
      <c r="D80" s="688">
        <f>'[2]总投资-发采购-0411-GLP拆分场外费用(司调)'!G113</f>
        <v>634.36415999999997</v>
      </c>
      <c r="E80" s="693">
        <f t="shared" si="7"/>
        <v>89.221400843881852</v>
      </c>
      <c r="F80" s="689">
        <f t="shared" si="5"/>
        <v>89.221400843881852</v>
      </c>
      <c r="G80" s="689">
        <f t="shared" si="6"/>
        <v>634.36415999999997</v>
      </c>
      <c r="H80" s="686"/>
      <c r="I80" s="686"/>
      <c r="J80" s="686"/>
      <c r="K80" s="707"/>
      <c r="L80" s="686"/>
      <c r="M80" s="780"/>
      <c r="N80" s="686"/>
      <c r="O80" s="686"/>
      <c r="P80" s="699"/>
      <c r="Q80" s="699"/>
      <c r="R80" s="699"/>
      <c r="S80" s="699"/>
      <c r="T80" s="707"/>
    </row>
    <row r="81" spans="1:20" hidden="1">
      <c r="A81" s="777" t="s">
        <v>235</v>
      </c>
      <c r="B81" s="690" t="s">
        <v>682</v>
      </c>
      <c r="C81" s="687"/>
      <c r="D81" s="688">
        <f>'[2]总投资-发采购-0411-GLP拆分场外费用(司调)'!G114</f>
        <v>174.807908541004</v>
      </c>
      <c r="E81" s="693">
        <f t="shared" si="7"/>
        <v>24.586203732911954</v>
      </c>
      <c r="F81" s="689">
        <f t="shared" si="5"/>
        <v>24.586203732911954</v>
      </c>
      <c r="G81" s="689">
        <f t="shared" si="6"/>
        <v>174.807908541004</v>
      </c>
      <c r="H81" s="686"/>
      <c r="I81" s="686"/>
      <c r="J81" s="686"/>
      <c r="K81" s="707"/>
      <c r="L81" s="686"/>
      <c r="M81" s="780"/>
      <c r="N81" s="686"/>
      <c r="O81" s="686"/>
      <c r="P81" s="699"/>
      <c r="Q81" s="699"/>
      <c r="R81" s="699"/>
      <c r="S81" s="699"/>
      <c r="T81" s="707"/>
    </row>
    <row r="82" spans="1:20" hidden="1">
      <c r="A82" s="777" t="s">
        <v>236</v>
      </c>
      <c r="B82" s="690" t="s">
        <v>683</v>
      </c>
      <c r="C82" s="687"/>
      <c r="D82" s="688">
        <f>'[2]总投资-发采购-0411-GLP拆分场外费用(司调)'!G115</f>
        <v>639.48</v>
      </c>
      <c r="E82" s="693">
        <f t="shared" si="7"/>
        <v>89.940928270042193</v>
      </c>
      <c r="F82" s="689">
        <f t="shared" si="5"/>
        <v>89.940928270042193</v>
      </c>
      <c r="G82" s="689">
        <f t="shared" si="6"/>
        <v>639.48</v>
      </c>
      <c r="H82" s="686"/>
      <c r="I82" s="686"/>
      <c r="J82" s="686"/>
      <c r="K82" s="707"/>
      <c r="L82" s="686"/>
      <c r="M82" s="780"/>
      <c r="N82" s="686"/>
      <c r="O82" s="686"/>
      <c r="P82" s="699"/>
      <c r="Q82" s="699"/>
      <c r="R82" s="699"/>
      <c r="S82" s="699"/>
      <c r="T82" s="707"/>
    </row>
    <row r="83" spans="1:20" hidden="1">
      <c r="A83" s="777"/>
      <c r="B83" s="779" t="s">
        <v>205</v>
      </c>
      <c r="C83" s="687"/>
      <c r="D83" s="688">
        <f>'[2]总投资-发采购-0411-GLP拆分场外费用(司调)'!G116</f>
        <v>1161.1394830245599</v>
      </c>
      <c r="E83" s="693">
        <f t="shared" si="7"/>
        <v>163.31075710612657</v>
      </c>
      <c r="F83" s="689">
        <f t="shared" si="5"/>
        <v>163.31075710612657</v>
      </c>
      <c r="G83" s="689">
        <f t="shared" si="6"/>
        <v>1161.1394830245599</v>
      </c>
      <c r="H83" s="686"/>
      <c r="I83" s="686"/>
      <c r="J83" s="686"/>
      <c r="K83" s="707"/>
      <c r="L83" s="686"/>
      <c r="M83" s="780"/>
      <c r="N83" s="686"/>
      <c r="O83" s="686"/>
      <c r="P83" s="699"/>
      <c r="Q83" s="699"/>
      <c r="R83" s="699"/>
      <c r="S83" s="699"/>
      <c r="T83" s="707"/>
    </row>
    <row r="84" spans="1:20" hidden="1">
      <c r="A84" s="777" t="s">
        <v>237</v>
      </c>
      <c r="B84" s="690" t="s">
        <v>685</v>
      </c>
      <c r="C84" s="687"/>
      <c r="D84" s="688">
        <f>'[2]总投资-发采购-0411-GLP拆分场外费用(司调)'!G117</f>
        <v>72</v>
      </c>
      <c r="E84" s="693">
        <f t="shared" si="7"/>
        <v>10.126582278481012</v>
      </c>
      <c r="F84" s="689">
        <f t="shared" si="5"/>
        <v>10.126582278481012</v>
      </c>
      <c r="G84" s="689">
        <f t="shared" si="6"/>
        <v>72</v>
      </c>
      <c r="H84" s="686"/>
      <c r="I84" s="686"/>
      <c r="J84" s="686"/>
      <c r="K84" s="707"/>
      <c r="L84" s="686"/>
      <c r="M84" s="780"/>
      <c r="N84" s="686"/>
      <c r="O84" s="686"/>
      <c r="P84" s="699"/>
      <c r="Q84" s="699"/>
      <c r="R84" s="699"/>
      <c r="S84" s="699"/>
      <c r="T84" s="707"/>
    </row>
    <row r="85" spans="1:20" hidden="1">
      <c r="A85" s="777"/>
      <c r="B85" s="690" t="s">
        <v>686</v>
      </c>
      <c r="C85" s="687"/>
      <c r="D85" s="688">
        <f>'[2]总投资-发采购-0411-GLP拆分场外费用(司调)'!G118</f>
        <v>1</v>
      </c>
      <c r="E85" s="693">
        <f t="shared" si="7"/>
        <v>0.14064697609001406</v>
      </c>
      <c r="F85" s="689">
        <f t="shared" si="5"/>
        <v>0.14064697609001406</v>
      </c>
      <c r="G85" s="689">
        <f t="shared" si="6"/>
        <v>1</v>
      </c>
      <c r="H85" s="686"/>
      <c r="I85" s="686"/>
      <c r="J85" s="686"/>
      <c r="K85" s="707"/>
      <c r="L85" s="686"/>
      <c r="M85" s="780"/>
      <c r="N85" s="686"/>
      <c r="O85" s="686"/>
      <c r="P85" s="699"/>
      <c r="Q85" s="699"/>
      <c r="R85" s="699"/>
      <c r="S85" s="699"/>
      <c r="T85" s="707"/>
    </row>
    <row r="86" spans="1:20" hidden="1">
      <c r="A86" s="777"/>
      <c r="B86" s="690" t="s">
        <v>687</v>
      </c>
      <c r="C86" s="687"/>
      <c r="D86" s="688">
        <f>'[2]总投资-发采购-0411-GLP拆分场外费用(司调)'!G119</f>
        <v>13</v>
      </c>
      <c r="E86" s="693">
        <f t="shared" si="7"/>
        <v>1.8284106891701828</v>
      </c>
      <c r="F86" s="689">
        <f t="shared" si="5"/>
        <v>1.8284106891701828</v>
      </c>
      <c r="G86" s="689">
        <f t="shared" si="6"/>
        <v>13</v>
      </c>
      <c r="H86" s="686"/>
      <c r="I86" s="686"/>
      <c r="J86" s="686"/>
      <c r="K86" s="707"/>
      <c r="L86" s="686"/>
      <c r="M86" s="780"/>
      <c r="N86" s="686"/>
      <c r="O86" s="686"/>
      <c r="P86" s="699"/>
      <c r="Q86" s="699"/>
      <c r="R86" s="699"/>
      <c r="S86" s="699"/>
      <c r="T86" s="707"/>
    </row>
    <row r="87" spans="1:20" hidden="1">
      <c r="A87" s="777"/>
      <c r="B87" s="690" t="s">
        <v>688</v>
      </c>
      <c r="C87" s="687"/>
      <c r="D87" s="688">
        <f>'[2]总投资-发采购-0411-GLP拆分场外费用(司调)'!G120</f>
        <v>58</v>
      </c>
      <c r="E87" s="693">
        <f t="shared" si="7"/>
        <v>8.157524613220815</v>
      </c>
      <c r="F87" s="689">
        <f t="shared" si="5"/>
        <v>8.157524613220815</v>
      </c>
      <c r="G87" s="689">
        <f t="shared" si="6"/>
        <v>58</v>
      </c>
      <c r="H87" s="686"/>
      <c r="I87" s="686"/>
      <c r="J87" s="686"/>
      <c r="K87" s="707"/>
      <c r="L87" s="686"/>
      <c r="M87" s="780"/>
      <c r="N87" s="686"/>
      <c r="O87" s="686"/>
      <c r="P87" s="699"/>
      <c r="Q87" s="699"/>
      <c r="R87" s="699"/>
      <c r="S87" s="699"/>
      <c r="T87" s="707"/>
    </row>
    <row r="88" spans="1:20" hidden="1">
      <c r="A88" s="777">
        <v>2.11</v>
      </c>
      <c r="B88" s="690" t="s">
        <v>716</v>
      </c>
      <c r="C88" s="687"/>
      <c r="D88" s="688">
        <f>'[2]总投资-发采购-0411-GLP拆分场外费用(司调)'!G121</f>
        <v>15296.8552463777</v>
      </c>
      <c r="E88" s="693">
        <f t="shared" si="7"/>
        <v>2151.4564340896904</v>
      </c>
      <c r="F88" s="689">
        <f t="shared" si="5"/>
        <v>2151.4564340896904</v>
      </c>
      <c r="G88" s="689">
        <f t="shared" si="6"/>
        <v>15296.8552463777</v>
      </c>
      <c r="H88" s="686"/>
      <c r="I88" s="686"/>
      <c r="J88" s="686"/>
      <c r="K88" s="707"/>
      <c r="L88" s="686"/>
      <c r="M88" s="780"/>
      <c r="N88" s="686"/>
      <c r="O88" s="686"/>
      <c r="P88" s="699"/>
      <c r="Q88" s="699"/>
      <c r="R88" s="699"/>
      <c r="S88" s="699"/>
      <c r="T88" s="707"/>
    </row>
    <row r="89" spans="1:20" hidden="1">
      <c r="A89" s="777" t="s">
        <v>239</v>
      </c>
      <c r="B89" s="690" t="s">
        <v>677</v>
      </c>
      <c r="C89" s="687"/>
      <c r="D89" s="688">
        <f>'[2]总投资-发采购-0411-GLP拆分场外费用(司调)'!G122</f>
        <v>12124.859358359399</v>
      </c>
      <c r="E89" s="693">
        <f t="shared" si="7"/>
        <v>1705.3248042699577</v>
      </c>
      <c r="F89" s="689">
        <f t="shared" si="5"/>
        <v>1705.3248042699577</v>
      </c>
      <c r="G89" s="689">
        <f t="shared" si="6"/>
        <v>12124.859358359399</v>
      </c>
      <c r="H89" s="686"/>
      <c r="I89" s="686"/>
      <c r="J89" s="686"/>
      <c r="K89" s="707"/>
      <c r="L89" s="686"/>
      <c r="M89" s="780"/>
      <c r="N89" s="686"/>
      <c r="O89" s="686"/>
      <c r="P89" s="699"/>
      <c r="Q89" s="699"/>
      <c r="R89" s="699"/>
      <c r="S89" s="699"/>
      <c r="T89" s="707"/>
    </row>
    <row r="90" spans="1:20" hidden="1">
      <c r="A90" s="777" t="s">
        <v>240</v>
      </c>
      <c r="B90" s="690" t="s">
        <v>678</v>
      </c>
      <c r="C90" s="687"/>
      <c r="D90" s="688">
        <f>'[2]总投资-发采购-0411-GLP拆分场外费用(司调)'!G123</f>
        <v>40.926720000000003</v>
      </c>
      <c r="E90" s="693">
        <f t="shared" si="7"/>
        <v>5.7562194092827008</v>
      </c>
      <c r="F90" s="689">
        <f t="shared" si="5"/>
        <v>5.7562194092827008</v>
      </c>
      <c r="G90" s="689">
        <f t="shared" si="6"/>
        <v>40.926720000000003</v>
      </c>
      <c r="H90" s="686"/>
      <c r="I90" s="686"/>
      <c r="J90" s="686"/>
      <c r="K90" s="707"/>
      <c r="L90" s="686"/>
      <c r="M90" s="780"/>
      <c r="N90" s="686"/>
      <c r="O90" s="686"/>
      <c r="P90" s="699"/>
      <c r="Q90" s="699"/>
      <c r="R90" s="699"/>
      <c r="S90" s="699"/>
      <c r="T90" s="707"/>
    </row>
    <row r="91" spans="1:20" hidden="1">
      <c r="A91" s="777" t="s">
        <v>241</v>
      </c>
      <c r="B91" s="690" t="s">
        <v>679</v>
      </c>
      <c r="C91" s="687"/>
      <c r="D91" s="688">
        <f>'[2]总投资-发采购-0411-GLP拆分场外费用(司调)'!G124</f>
        <v>368.34048000000001</v>
      </c>
      <c r="E91" s="693">
        <f t="shared" si="7"/>
        <v>51.805974683544306</v>
      </c>
      <c r="F91" s="689">
        <f t="shared" si="5"/>
        <v>51.805974683544306</v>
      </c>
      <c r="G91" s="689">
        <f t="shared" si="6"/>
        <v>368.34048000000001</v>
      </c>
      <c r="H91" s="686"/>
      <c r="I91" s="686"/>
      <c r="J91" s="686"/>
      <c r="K91" s="707"/>
      <c r="L91" s="686"/>
      <c r="M91" s="780"/>
      <c r="N91" s="686"/>
      <c r="O91" s="686"/>
      <c r="P91" s="699"/>
      <c r="Q91" s="699"/>
      <c r="R91" s="699"/>
      <c r="S91" s="699"/>
      <c r="T91" s="707"/>
    </row>
    <row r="92" spans="1:20" hidden="1">
      <c r="A92" s="777" t="s">
        <v>242</v>
      </c>
      <c r="B92" s="690" t="s">
        <v>680</v>
      </c>
      <c r="C92" s="687"/>
      <c r="D92" s="688">
        <f>'[2]总投资-发采购-0411-GLP拆分场外费用(司调)'!G125</f>
        <v>286.48703999999998</v>
      </c>
      <c r="E92" s="693">
        <f t="shared" si="7"/>
        <v>40.293535864978899</v>
      </c>
      <c r="F92" s="689">
        <f t="shared" si="5"/>
        <v>40.293535864978899</v>
      </c>
      <c r="G92" s="689">
        <f t="shared" si="6"/>
        <v>286.48703999999998</v>
      </c>
      <c r="H92" s="686"/>
      <c r="I92" s="686"/>
      <c r="J92" s="686"/>
      <c r="K92" s="707"/>
      <c r="L92" s="686"/>
      <c r="M92" s="780"/>
      <c r="N92" s="686"/>
      <c r="O92" s="686"/>
      <c r="P92" s="699"/>
      <c r="Q92" s="699"/>
      <c r="R92" s="699"/>
      <c r="S92" s="699"/>
      <c r="T92" s="707"/>
    </row>
    <row r="93" spans="1:20" hidden="1">
      <c r="A93" s="777" t="s">
        <v>243</v>
      </c>
      <c r="B93" s="690" t="s">
        <v>681</v>
      </c>
      <c r="C93" s="687"/>
      <c r="D93" s="688">
        <f>'[2]总投资-发采购-0411-GLP拆分场外费用(司调)'!G126</f>
        <v>634.36415999999997</v>
      </c>
      <c r="E93" s="693">
        <f t="shared" si="7"/>
        <v>89.221400843881852</v>
      </c>
      <c r="F93" s="689">
        <f t="shared" si="5"/>
        <v>89.221400843881852</v>
      </c>
      <c r="G93" s="689">
        <f t="shared" si="6"/>
        <v>634.36415999999997</v>
      </c>
      <c r="H93" s="686"/>
      <c r="I93" s="686"/>
      <c r="J93" s="686"/>
      <c r="K93" s="707"/>
      <c r="L93" s="686"/>
      <c r="M93" s="780"/>
      <c r="N93" s="686"/>
      <c r="O93" s="686"/>
      <c r="P93" s="699"/>
      <c r="Q93" s="699"/>
      <c r="R93" s="699"/>
      <c r="S93" s="699"/>
      <c r="T93" s="707"/>
    </row>
    <row r="94" spans="1:20" hidden="1">
      <c r="A94" s="777" t="s">
        <v>244</v>
      </c>
      <c r="B94" s="690" t="s">
        <v>682</v>
      </c>
      <c r="C94" s="687"/>
      <c r="D94" s="688">
        <f>'[2]总投资-发采购-0411-GLP拆分场外费用(司调)'!G127</f>
        <v>174.807908541004</v>
      </c>
      <c r="E94" s="693">
        <f t="shared" si="7"/>
        <v>24.586203732911954</v>
      </c>
      <c r="F94" s="689">
        <f t="shared" si="5"/>
        <v>24.586203732911954</v>
      </c>
      <c r="G94" s="689">
        <f t="shared" si="6"/>
        <v>174.807908541004</v>
      </c>
      <c r="H94" s="686"/>
      <c r="I94" s="686"/>
      <c r="J94" s="686"/>
      <c r="K94" s="707"/>
      <c r="L94" s="686"/>
      <c r="M94" s="780"/>
      <c r="N94" s="686"/>
      <c r="O94" s="686"/>
      <c r="P94" s="699"/>
      <c r="Q94" s="699"/>
      <c r="R94" s="699"/>
      <c r="S94" s="699"/>
      <c r="T94" s="707"/>
    </row>
    <row r="95" spans="1:20" hidden="1">
      <c r="A95" s="777" t="s">
        <v>245</v>
      </c>
      <c r="B95" s="690" t="s">
        <v>683</v>
      </c>
      <c r="C95" s="687"/>
      <c r="D95" s="688">
        <f>'[2]总投资-发采购-0411-GLP拆分场外费用(司调)'!G128</f>
        <v>639.48</v>
      </c>
      <c r="E95" s="693">
        <f t="shared" si="7"/>
        <v>89.940928270042193</v>
      </c>
      <c r="F95" s="689">
        <f t="shared" si="5"/>
        <v>89.940928270042193</v>
      </c>
      <c r="G95" s="689">
        <f t="shared" si="6"/>
        <v>639.48</v>
      </c>
      <c r="H95" s="686"/>
      <c r="I95" s="686"/>
      <c r="J95" s="686"/>
      <c r="K95" s="707"/>
      <c r="L95" s="686"/>
      <c r="M95" s="780"/>
      <c r="N95" s="686"/>
      <c r="O95" s="686"/>
      <c r="P95" s="699"/>
      <c r="Q95" s="699"/>
      <c r="R95" s="699"/>
      <c r="S95" s="699"/>
      <c r="T95" s="707"/>
    </row>
    <row r="96" spans="1:20" hidden="1">
      <c r="A96" s="777"/>
      <c r="B96" s="779" t="s">
        <v>205</v>
      </c>
      <c r="C96" s="687"/>
      <c r="D96" s="688">
        <f>'[2]总投资-发采购-0411-GLP拆分场外费用(司调)'!G129</f>
        <v>955.589579477293</v>
      </c>
      <c r="E96" s="693">
        <f t="shared" si="7"/>
        <v>134.40078473660941</v>
      </c>
      <c r="F96" s="689">
        <f t="shared" si="5"/>
        <v>134.40078473660941</v>
      </c>
      <c r="G96" s="689">
        <f t="shared" si="6"/>
        <v>955.589579477293</v>
      </c>
      <c r="H96" s="686"/>
      <c r="I96" s="686"/>
      <c r="J96" s="686"/>
      <c r="K96" s="707"/>
      <c r="L96" s="686"/>
      <c r="M96" s="780"/>
      <c r="N96" s="686"/>
      <c r="O96" s="686"/>
      <c r="P96" s="699"/>
      <c r="Q96" s="699"/>
      <c r="R96" s="699"/>
      <c r="S96" s="699"/>
      <c r="T96" s="707"/>
    </row>
    <row r="97" spans="1:20" hidden="1">
      <c r="A97" s="777" t="s">
        <v>246</v>
      </c>
      <c r="B97" s="690" t="s">
        <v>685</v>
      </c>
      <c r="C97" s="687"/>
      <c r="D97" s="688">
        <f>'[2]总投资-发采购-0411-GLP拆分场外费用(司调)'!G130</f>
        <v>72</v>
      </c>
      <c r="E97" s="693">
        <f t="shared" si="7"/>
        <v>10.126582278481012</v>
      </c>
      <c r="F97" s="689">
        <f t="shared" si="5"/>
        <v>10.126582278481012</v>
      </c>
      <c r="G97" s="689">
        <f t="shared" si="6"/>
        <v>72</v>
      </c>
      <c r="H97" s="686"/>
      <c r="I97" s="686"/>
      <c r="J97" s="686"/>
      <c r="K97" s="707"/>
      <c r="L97" s="686"/>
      <c r="M97" s="780"/>
      <c r="N97" s="686"/>
      <c r="O97" s="686"/>
      <c r="P97" s="699"/>
      <c r="Q97" s="699"/>
      <c r="R97" s="699"/>
      <c r="S97" s="699"/>
      <c r="T97" s="707"/>
    </row>
    <row r="98" spans="1:20" hidden="1">
      <c r="A98" s="777"/>
      <c r="B98" s="690" t="s">
        <v>686</v>
      </c>
      <c r="C98" s="687"/>
      <c r="D98" s="688">
        <f>'[2]总投资-发采购-0411-GLP拆分场外费用(司调)'!G131</f>
        <v>1</v>
      </c>
      <c r="E98" s="693">
        <f t="shared" si="7"/>
        <v>0.14064697609001406</v>
      </c>
      <c r="F98" s="689">
        <f t="shared" si="5"/>
        <v>0.14064697609001406</v>
      </c>
      <c r="G98" s="689">
        <f t="shared" si="6"/>
        <v>1</v>
      </c>
      <c r="H98" s="686"/>
      <c r="I98" s="686"/>
      <c r="J98" s="686"/>
      <c r="K98" s="707"/>
      <c r="L98" s="686"/>
      <c r="M98" s="780"/>
      <c r="N98" s="686"/>
      <c r="O98" s="686"/>
      <c r="P98" s="699"/>
      <c r="Q98" s="699"/>
      <c r="R98" s="699"/>
      <c r="S98" s="699"/>
      <c r="T98" s="707"/>
    </row>
    <row r="99" spans="1:20" hidden="1">
      <c r="A99" s="777"/>
      <c r="B99" s="690" t="s">
        <v>687</v>
      </c>
      <c r="C99" s="687"/>
      <c r="D99" s="688">
        <f>'[2]总投资-发采购-0411-GLP拆分场外费用(司调)'!G132</f>
        <v>13</v>
      </c>
      <c r="E99" s="693">
        <f t="shared" si="7"/>
        <v>1.8284106891701828</v>
      </c>
      <c r="F99" s="689">
        <f t="shared" si="5"/>
        <v>1.8284106891701828</v>
      </c>
      <c r="G99" s="689">
        <f t="shared" si="6"/>
        <v>13</v>
      </c>
      <c r="H99" s="686"/>
      <c r="I99" s="686"/>
      <c r="J99" s="686"/>
      <c r="K99" s="707"/>
      <c r="L99" s="686"/>
      <c r="M99" s="780"/>
      <c r="N99" s="686"/>
      <c r="O99" s="686"/>
      <c r="P99" s="699"/>
      <c r="Q99" s="699"/>
      <c r="R99" s="699"/>
      <c r="S99" s="699"/>
      <c r="T99" s="707"/>
    </row>
    <row r="100" spans="1:20" hidden="1">
      <c r="A100" s="777"/>
      <c r="B100" s="690" t="s">
        <v>688</v>
      </c>
      <c r="C100" s="687"/>
      <c r="D100" s="688">
        <f>'[2]总投资-发采购-0411-GLP拆分场外费用(司调)'!G133</f>
        <v>58</v>
      </c>
      <c r="E100" s="693">
        <f t="shared" si="7"/>
        <v>8.157524613220815</v>
      </c>
      <c r="F100" s="689">
        <f t="shared" si="5"/>
        <v>8.157524613220815</v>
      </c>
      <c r="G100" s="689">
        <f t="shared" si="6"/>
        <v>58</v>
      </c>
      <c r="H100" s="686"/>
      <c r="I100" s="686"/>
      <c r="J100" s="686"/>
      <c r="K100" s="707"/>
      <c r="L100" s="686"/>
      <c r="M100" s="780"/>
      <c r="N100" s="686"/>
      <c r="O100" s="686"/>
      <c r="P100" s="699"/>
      <c r="Q100" s="699"/>
      <c r="R100" s="699"/>
      <c r="S100" s="699"/>
      <c r="T100" s="707"/>
    </row>
    <row r="101" spans="1:20" hidden="1">
      <c r="A101" s="777">
        <v>2.9</v>
      </c>
      <c r="B101" s="690" t="s">
        <v>717</v>
      </c>
      <c r="C101" s="687"/>
      <c r="D101" s="688">
        <f>'[2]总投资-发采购-0411-GLP拆分场外费用(司调)'!G95</f>
        <v>13789.8726650923</v>
      </c>
      <c r="E101" s="693">
        <f t="shared" si="7"/>
        <v>1939.5038910115752</v>
      </c>
      <c r="F101" s="689">
        <f t="shared" si="5"/>
        <v>1939.5038910115752</v>
      </c>
      <c r="G101" s="689">
        <f t="shared" si="6"/>
        <v>13789.8726650923</v>
      </c>
      <c r="H101" s="686"/>
      <c r="I101" s="686"/>
      <c r="J101" s="686"/>
      <c r="K101" s="707"/>
      <c r="L101" s="686"/>
      <c r="M101" s="780"/>
      <c r="N101" s="686"/>
      <c r="O101" s="686"/>
      <c r="P101" s="699"/>
      <c r="Q101" s="699"/>
      <c r="R101" s="699"/>
      <c r="S101" s="699"/>
      <c r="T101" s="707"/>
    </row>
    <row r="102" spans="1:20" hidden="1">
      <c r="A102" s="777" t="s">
        <v>248</v>
      </c>
      <c r="B102" s="690" t="s">
        <v>677</v>
      </c>
      <c r="C102" s="687"/>
      <c r="D102" s="688">
        <f>'[2]总投资-发采购-0411-GLP拆分场外费用(司调)'!G96</f>
        <v>10541.2785526889</v>
      </c>
      <c r="E102" s="693">
        <f t="shared" si="7"/>
        <v>1482.5989525582138</v>
      </c>
      <c r="F102" s="689">
        <f t="shared" si="5"/>
        <v>1482.5989525582138</v>
      </c>
      <c r="G102" s="689">
        <f t="shared" si="6"/>
        <v>10541.2785526889</v>
      </c>
      <c r="H102" s="686"/>
      <c r="I102" s="686"/>
      <c r="J102" s="686"/>
      <c r="K102" s="707"/>
      <c r="L102" s="686"/>
      <c r="M102" s="780"/>
      <c r="N102" s="686"/>
      <c r="O102" s="686"/>
      <c r="P102" s="699"/>
      <c r="Q102" s="699"/>
      <c r="R102" s="699"/>
      <c r="S102" s="699"/>
      <c r="T102" s="707"/>
    </row>
    <row r="103" spans="1:20" hidden="1">
      <c r="A103" s="777" t="s">
        <v>249</v>
      </c>
      <c r="B103" s="690" t="s">
        <v>678</v>
      </c>
      <c r="C103" s="687"/>
      <c r="D103" s="688">
        <f>'[2]总投资-发采购-0411-GLP拆分场外费用(司调)'!G97</f>
        <v>35.581440000000001</v>
      </c>
      <c r="E103" s="693">
        <f t="shared" si="7"/>
        <v>5.0044219409282702</v>
      </c>
      <c r="F103" s="689">
        <f t="shared" si="5"/>
        <v>5.0044219409282702</v>
      </c>
      <c r="G103" s="689">
        <f t="shared" si="6"/>
        <v>35.581440000000001</v>
      </c>
      <c r="H103" s="686"/>
      <c r="I103" s="686"/>
      <c r="J103" s="686"/>
      <c r="K103" s="707"/>
      <c r="L103" s="686"/>
      <c r="M103" s="780"/>
      <c r="N103" s="686"/>
      <c r="O103" s="686"/>
      <c r="P103" s="699"/>
      <c r="Q103" s="699"/>
      <c r="R103" s="699"/>
      <c r="S103" s="699"/>
      <c r="T103" s="707"/>
    </row>
    <row r="104" spans="1:20" hidden="1">
      <c r="A104" s="777" t="s">
        <v>250</v>
      </c>
      <c r="B104" s="690" t="s">
        <v>679</v>
      </c>
      <c r="C104" s="687"/>
      <c r="D104" s="688">
        <f>'[2]总投资-发采购-0411-GLP拆分场外费用(司调)'!G98</f>
        <v>320.23295999999999</v>
      </c>
      <c r="E104" s="693">
        <f t="shared" si="7"/>
        <v>45.039797468354429</v>
      </c>
      <c r="F104" s="689">
        <f t="shared" si="5"/>
        <v>45.039797468354429</v>
      </c>
      <c r="G104" s="689">
        <f t="shared" si="6"/>
        <v>320.23295999999999</v>
      </c>
      <c r="H104" s="686"/>
      <c r="I104" s="686"/>
      <c r="J104" s="686"/>
      <c r="K104" s="707"/>
      <c r="L104" s="686"/>
      <c r="M104" s="780"/>
      <c r="N104" s="686"/>
      <c r="O104" s="686"/>
      <c r="P104" s="699"/>
      <c r="Q104" s="699"/>
      <c r="R104" s="699"/>
      <c r="S104" s="699"/>
      <c r="T104" s="707"/>
    </row>
    <row r="105" spans="1:20" hidden="1">
      <c r="A105" s="777" t="s">
        <v>251</v>
      </c>
      <c r="B105" s="690" t="s">
        <v>680</v>
      </c>
      <c r="C105" s="687"/>
      <c r="D105" s="688">
        <f>'[2]总投资-发采购-0411-GLP拆分场外费用(司调)'!G99</f>
        <v>249.07007999999999</v>
      </c>
      <c r="E105" s="693">
        <f t="shared" si="7"/>
        <v>35.030953586497887</v>
      </c>
      <c r="F105" s="689">
        <f t="shared" si="5"/>
        <v>35.030953586497887</v>
      </c>
      <c r="G105" s="689">
        <f t="shared" si="6"/>
        <v>249.07007999999999</v>
      </c>
      <c r="H105" s="686"/>
      <c r="I105" s="686"/>
      <c r="J105" s="686"/>
      <c r="K105" s="707"/>
      <c r="L105" s="686"/>
      <c r="M105" s="780"/>
      <c r="N105" s="686"/>
      <c r="O105" s="686"/>
      <c r="P105" s="699"/>
      <c r="Q105" s="699"/>
      <c r="R105" s="699"/>
      <c r="S105" s="699"/>
      <c r="T105" s="707"/>
    </row>
    <row r="106" spans="1:20" hidden="1">
      <c r="A106" s="777" t="s">
        <v>252</v>
      </c>
      <c r="B106" s="690" t="s">
        <v>681</v>
      </c>
      <c r="C106" s="687"/>
      <c r="D106" s="688">
        <f>'[2]总投资-发采购-0411-GLP拆分场外费用(司调)'!G100</f>
        <v>551.51232000000005</v>
      </c>
      <c r="E106" s="693">
        <f t="shared" si="7"/>
        <v>77.568540084388189</v>
      </c>
      <c r="F106" s="689">
        <f t="shared" si="5"/>
        <v>77.568540084388189</v>
      </c>
      <c r="G106" s="689">
        <f t="shared" si="6"/>
        <v>551.51232000000005</v>
      </c>
      <c r="H106" s="686"/>
      <c r="I106" s="686"/>
      <c r="J106" s="686"/>
      <c r="K106" s="707"/>
      <c r="L106" s="686"/>
      <c r="M106" s="780"/>
      <c r="N106" s="686"/>
      <c r="O106" s="686"/>
      <c r="P106" s="699"/>
      <c r="Q106" s="699"/>
      <c r="R106" s="699"/>
      <c r="S106" s="699"/>
      <c r="T106" s="707"/>
    </row>
    <row r="107" spans="1:20" hidden="1">
      <c r="A107" s="777" t="s">
        <v>253</v>
      </c>
      <c r="B107" s="690" t="s">
        <v>682</v>
      </c>
      <c r="C107" s="687"/>
      <c r="D107" s="688">
        <f>'[2]总投资-发采购-0411-GLP拆分场外费用(司调)'!G101</f>
        <v>151.97692630333501</v>
      </c>
      <c r="E107" s="693">
        <f t="shared" si="7"/>
        <v>21.375095120018987</v>
      </c>
      <c r="F107" s="689">
        <f t="shared" si="5"/>
        <v>21.375095120018987</v>
      </c>
      <c r="G107" s="689">
        <f t="shared" si="6"/>
        <v>151.97692630333501</v>
      </c>
      <c r="H107" s="686"/>
      <c r="I107" s="686"/>
      <c r="J107" s="686"/>
      <c r="K107" s="707"/>
      <c r="L107" s="686"/>
      <c r="M107" s="780"/>
      <c r="N107" s="686"/>
      <c r="O107" s="686"/>
      <c r="P107" s="699"/>
      <c r="Q107" s="699"/>
      <c r="R107" s="699"/>
      <c r="S107" s="699"/>
      <c r="T107" s="707"/>
    </row>
    <row r="108" spans="1:20" hidden="1">
      <c r="A108" s="777" t="s">
        <v>254</v>
      </c>
      <c r="B108" s="690" t="s">
        <v>683</v>
      </c>
      <c r="C108" s="687"/>
      <c r="D108" s="688">
        <f>'[2]总投资-发采购-0411-GLP拆分场外费用(司调)'!G102</f>
        <v>555.96</v>
      </c>
      <c r="E108" s="693">
        <f t="shared" si="7"/>
        <v>78.194092827004226</v>
      </c>
      <c r="F108" s="689">
        <f t="shared" si="5"/>
        <v>78.194092827004226</v>
      </c>
      <c r="G108" s="689">
        <f t="shared" si="6"/>
        <v>555.96</v>
      </c>
      <c r="H108" s="686"/>
      <c r="I108" s="686"/>
      <c r="J108" s="686"/>
      <c r="K108" s="707"/>
      <c r="L108" s="686"/>
      <c r="M108" s="780"/>
      <c r="N108" s="686"/>
      <c r="O108" s="686"/>
      <c r="P108" s="699"/>
      <c r="Q108" s="699"/>
      <c r="R108" s="699"/>
      <c r="S108" s="699"/>
      <c r="T108" s="707"/>
    </row>
    <row r="109" spans="1:20" hidden="1">
      <c r="A109" s="777"/>
      <c r="B109" s="779" t="s">
        <v>205</v>
      </c>
      <c r="C109" s="687"/>
      <c r="D109" s="688">
        <f>'[2]总投资-发采购-0411-GLP拆分场外费用(司调)'!G103</f>
        <v>1319.26038610009</v>
      </c>
      <c r="E109" s="693">
        <f t="shared" si="7"/>
        <v>185.54998398032208</v>
      </c>
      <c r="F109" s="689">
        <f t="shared" si="5"/>
        <v>185.54998398032208</v>
      </c>
      <c r="G109" s="689">
        <f t="shared" si="6"/>
        <v>1319.26038610009</v>
      </c>
      <c r="H109" s="686"/>
      <c r="I109" s="686"/>
      <c r="J109" s="686"/>
      <c r="K109" s="707"/>
      <c r="L109" s="686"/>
      <c r="M109" s="780"/>
      <c r="N109" s="686"/>
      <c r="O109" s="686"/>
      <c r="P109" s="699"/>
      <c r="Q109" s="699"/>
      <c r="R109" s="699"/>
      <c r="S109" s="699"/>
      <c r="T109" s="707"/>
    </row>
    <row r="110" spans="1:20" hidden="1">
      <c r="A110" s="777" t="s">
        <v>255</v>
      </c>
      <c r="B110" s="690" t="s">
        <v>685</v>
      </c>
      <c r="C110" s="687"/>
      <c r="D110" s="688">
        <f>'[2]总投资-发采购-0411-GLP拆分场外费用(司调)'!G104</f>
        <v>65</v>
      </c>
      <c r="E110" s="693">
        <f t="shared" si="7"/>
        <v>9.1420534458509142</v>
      </c>
      <c r="F110" s="689">
        <f t="shared" si="5"/>
        <v>9.1420534458509142</v>
      </c>
      <c r="G110" s="689">
        <f t="shared" si="6"/>
        <v>65</v>
      </c>
      <c r="H110" s="686"/>
      <c r="I110" s="686"/>
      <c r="J110" s="686"/>
      <c r="K110" s="707"/>
      <c r="L110" s="686"/>
      <c r="M110" s="780"/>
      <c r="N110" s="686"/>
      <c r="O110" s="686"/>
      <c r="P110" s="699"/>
      <c r="Q110" s="699"/>
      <c r="R110" s="699"/>
      <c r="S110" s="699"/>
      <c r="T110" s="707"/>
    </row>
    <row r="111" spans="1:20" hidden="1">
      <c r="A111" s="777"/>
      <c r="B111" s="690" t="s">
        <v>686</v>
      </c>
      <c r="C111" s="687"/>
      <c r="D111" s="688">
        <f>'[2]总投资-发采购-0411-GLP拆分场外费用(司调)'!G105</f>
        <v>1</v>
      </c>
      <c r="E111" s="693">
        <f t="shared" si="7"/>
        <v>0.14064697609001406</v>
      </c>
      <c r="F111" s="689">
        <f t="shared" si="5"/>
        <v>0.14064697609001406</v>
      </c>
      <c r="G111" s="689">
        <f t="shared" si="6"/>
        <v>1</v>
      </c>
      <c r="H111" s="686"/>
      <c r="I111" s="686"/>
      <c r="J111" s="686"/>
      <c r="K111" s="707"/>
      <c r="L111" s="686"/>
      <c r="M111" s="780"/>
      <c r="N111" s="686"/>
      <c r="O111" s="686"/>
      <c r="P111" s="699"/>
      <c r="Q111" s="699"/>
      <c r="R111" s="699"/>
      <c r="S111" s="699"/>
      <c r="T111" s="707"/>
    </row>
    <row r="112" spans="1:20" hidden="1">
      <c r="A112" s="777"/>
      <c r="B112" s="690" t="s">
        <v>687</v>
      </c>
      <c r="C112" s="687"/>
      <c r="D112" s="688">
        <f>'[2]总投资-发采购-0411-GLP拆分场外费用(司调)'!G106</f>
        <v>11</v>
      </c>
      <c r="E112" s="693">
        <f t="shared" si="7"/>
        <v>1.5471167369901546</v>
      </c>
      <c r="F112" s="689">
        <f t="shared" si="5"/>
        <v>1.5471167369901546</v>
      </c>
      <c r="G112" s="689">
        <f t="shared" si="6"/>
        <v>11</v>
      </c>
      <c r="H112" s="686"/>
      <c r="I112" s="686"/>
      <c r="J112" s="686"/>
      <c r="K112" s="707"/>
      <c r="L112" s="686"/>
      <c r="M112" s="780"/>
      <c r="N112" s="686"/>
      <c r="O112" s="686"/>
      <c r="P112" s="699"/>
      <c r="Q112" s="699"/>
      <c r="R112" s="699"/>
      <c r="S112" s="699"/>
      <c r="T112" s="707"/>
    </row>
    <row r="113" spans="1:20" hidden="1">
      <c r="A113" s="777"/>
      <c r="B113" s="690" t="s">
        <v>688</v>
      </c>
      <c r="C113" s="687"/>
      <c r="D113" s="688">
        <f>'[2]总投资-发采购-0411-GLP拆分场外费用(司调)'!G107</f>
        <v>53</v>
      </c>
      <c r="E113" s="693">
        <f t="shared" si="7"/>
        <v>7.4542897327707447</v>
      </c>
      <c r="F113" s="689">
        <f t="shared" si="5"/>
        <v>7.4542897327707447</v>
      </c>
      <c r="G113" s="689">
        <f t="shared" si="6"/>
        <v>53</v>
      </c>
      <c r="H113" s="686"/>
      <c r="I113" s="686"/>
      <c r="J113" s="686"/>
      <c r="K113" s="707"/>
      <c r="L113" s="686"/>
      <c r="M113" s="780"/>
      <c r="N113" s="686"/>
      <c r="O113" s="686"/>
      <c r="P113" s="699"/>
      <c r="Q113" s="699"/>
      <c r="R113" s="699"/>
      <c r="S113" s="699"/>
      <c r="T113" s="707"/>
    </row>
    <row r="114" spans="1:20" hidden="1">
      <c r="A114" s="777" t="s">
        <v>256</v>
      </c>
      <c r="B114" s="690" t="s">
        <v>257</v>
      </c>
      <c r="C114" s="687"/>
      <c r="D114" s="688">
        <f>'[2]总投资-发采购-0411-GLP拆分场外费用(司调)'!G199</f>
        <v>9618.8799999999992</v>
      </c>
      <c r="E114" s="693">
        <f t="shared" ref="E114:E118" si="8">D114/$A$3</f>
        <v>1352.8663853727144</v>
      </c>
      <c r="F114" s="689">
        <f t="shared" si="5"/>
        <v>1352.8663853727144</v>
      </c>
      <c r="G114" s="689">
        <f t="shared" si="6"/>
        <v>9618.8799999999992</v>
      </c>
      <c r="H114" s="686"/>
      <c r="I114" s="686"/>
      <c r="J114" s="686"/>
      <c r="K114" s="707"/>
      <c r="L114" s="686"/>
      <c r="M114" s="780"/>
      <c r="N114" s="686"/>
      <c r="O114" s="686"/>
      <c r="P114" s="699"/>
      <c r="Q114" s="699"/>
      <c r="R114" s="699"/>
      <c r="S114" s="699"/>
      <c r="T114" s="707"/>
    </row>
    <row r="115" spans="1:20" hidden="1">
      <c r="A115" s="777" t="s">
        <v>258</v>
      </c>
      <c r="B115" s="690" t="s">
        <v>259</v>
      </c>
      <c r="C115" s="687"/>
      <c r="D115" s="688">
        <f>'[2]总投资-发采购-0411-GLP拆分场外费用(司调)'!G200</f>
        <v>9330.3135999999995</v>
      </c>
      <c r="E115" s="693">
        <f t="shared" si="8"/>
        <v>1312.280393811533</v>
      </c>
      <c r="F115" s="689">
        <f t="shared" si="5"/>
        <v>1312.280393811533</v>
      </c>
      <c r="G115" s="689">
        <f t="shared" si="6"/>
        <v>9330.3135999999995</v>
      </c>
      <c r="H115" s="686"/>
      <c r="I115" s="686"/>
      <c r="J115" s="686"/>
      <c r="K115" s="707"/>
      <c r="L115" s="686"/>
      <c r="M115" s="780"/>
      <c r="N115" s="686"/>
      <c r="O115" s="686"/>
      <c r="P115" s="699"/>
      <c r="Q115" s="699"/>
      <c r="R115" s="699"/>
      <c r="S115" s="699"/>
      <c r="T115" s="707"/>
    </row>
    <row r="116" spans="1:20" hidden="1">
      <c r="A116" s="777" t="s">
        <v>260</v>
      </c>
      <c r="B116" s="690" t="s">
        <v>261</v>
      </c>
      <c r="C116" s="687"/>
      <c r="D116" s="688">
        <f>'[2]总投资-发采购-0411-GLP拆分场外费用(司调)'!G201</f>
        <v>288.56639999999999</v>
      </c>
      <c r="E116" s="693">
        <f t="shared" si="8"/>
        <v>40.58599156118143</v>
      </c>
      <c r="F116" s="689">
        <f t="shared" si="5"/>
        <v>40.58599156118143</v>
      </c>
      <c r="G116" s="689">
        <f t="shared" si="6"/>
        <v>288.56639999999999</v>
      </c>
      <c r="H116" s="686"/>
      <c r="I116" s="686"/>
      <c r="J116" s="686"/>
      <c r="K116" s="707"/>
      <c r="L116" s="686"/>
      <c r="M116" s="780"/>
      <c r="N116" s="686"/>
      <c r="O116" s="686"/>
      <c r="P116" s="699"/>
      <c r="Q116" s="699"/>
      <c r="R116" s="699"/>
      <c r="S116" s="699"/>
      <c r="T116" s="707"/>
    </row>
    <row r="117" spans="1:20" ht="17.25" customHeight="1">
      <c r="A117" s="775" t="s">
        <v>38</v>
      </c>
      <c r="B117" s="683" t="s">
        <v>718</v>
      </c>
      <c r="C117" s="683" t="s">
        <v>719</v>
      </c>
      <c r="D117" s="684">
        <f>SUM('[2]总投资-发采购-0411-GLP拆分场外费用(司调)'!G134,'[2]总投资-发采购-0411-GLP拆分场外费用(司调)'!G147,'[2]总投资-发采购-0411-GLP拆分场外费用(司调)'!G160)</f>
        <v>47558.926001233798</v>
      </c>
      <c r="E117" s="695">
        <f t="shared" si="8"/>
        <v>6689.0191281622783</v>
      </c>
      <c r="F117" s="685">
        <f t="shared" si="5"/>
        <v>6689.0191281622783</v>
      </c>
      <c r="G117" s="685">
        <f t="shared" si="6"/>
        <v>47558.926001233798</v>
      </c>
      <c r="H117" s="606" t="s">
        <v>133</v>
      </c>
      <c r="I117" s="606" t="s">
        <v>79</v>
      </c>
      <c r="J117" s="606">
        <v>18</v>
      </c>
      <c r="K117" s="697" t="s">
        <v>224</v>
      </c>
      <c r="L117" s="606" t="s">
        <v>135</v>
      </c>
      <c r="M117" s="780"/>
      <c r="N117" s="606"/>
      <c r="O117" s="606"/>
      <c r="P117" s="698" t="s">
        <v>225</v>
      </c>
      <c r="Q117" s="698" t="s">
        <v>226</v>
      </c>
      <c r="R117" s="698" t="s">
        <v>714</v>
      </c>
      <c r="S117" s="698" t="s">
        <v>228</v>
      </c>
      <c r="T117" s="697"/>
    </row>
    <row r="118" spans="1:20" hidden="1">
      <c r="A118" s="778">
        <v>2.12</v>
      </c>
      <c r="B118" s="690" t="s">
        <v>720</v>
      </c>
      <c r="C118" s="687"/>
      <c r="D118" s="688">
        <f>'[2]总投资-发采购-0411-GLP拆分场外费用(司调)'!G134</f>
        <v>15098.998477818201</v>
      </c>
      <c r="E118" s="693">
        <f t="shared" si="8"/>
        <v>2123.6284778928552</v>
      </c>
      <c r="F118" s="689">
        <f t="shared" si="5"/>
        <v>2123.6284778928552</v>
      </c>
      <c r="G118" s="689">
        <f t="shared" si="6"/>
        <v>15098.998477818201</v>
      </c>
      <c r="H118" s="686"/>
      <c r="I118" s="686"/>
      <c r="J118" s="686"/>
      <c r="K118" s="697" t="s">
        <v>224</v>
      </c>
      <c r="L118" s="686"/>
      <c r="M118" s="780"/>
      <c r="N118" s="686"/>
      <c r="O118" s="686"/>
      <c r="P118" s="699"/>
      <c r="Q118" s="699"/>
      <c r="R118" s="699"/>
      <c r="S118" s="699"/>
      <c r="T118" s="707"/>
    </row>
    <row r="119" spans="1:20" hidden="1">
      <c r="A119" s="778" t="s">
        <v>265</v>
      </c>
      <c r="B119" s="690" t="s">
        <v>677</v>
      </c>
      <c r="C119" s="687"/>
      <c r="D119" s="688">
        <f>'[2]总投资-发采购-0411-GLP拆分场外费用(司调)'!G135</f>
        <v>12124.859358359399</v>
      </c>
      <c r="E119" s="693">
        <f t="shared" ref="E119:E182" si="9">D119/$A$3</f>
        <v>1705.3248042699577</v>
      </c>
      <c r="F119" s="689">
        <f t="shared" si="5"/>
        <v>1705.3248042699577</v>
      </c>
      <c r="G119" s="689">
        <f t="shared" si="6"/>
        <v>12124.859358359399</v>
      </c>
      <c r="H119" s="686"/>
      <c r="I119" s="686"/>
      <c r="J119" s="686"/>
      <c r="K119" s="697" t="s">
        <v>224</v>
      </c>
      <c r="L119" s="686"/>
      <c r="M119" s="780"/>
      <c r="N119" s="686"/>
      <c r="O119" s="686"/>
      <c r="P119" s="699"/>
      <c r="Q119" s="699"/>
      <c r="R119" s="699"/>
      <c r="S119" s="699"/>
      <c r="T119" s="707"/>
    </row>
    <row r="120" spans="1:20" hidden="1">
      <c r="A120" s="778" t="s">
        <v>266</v>
      </c>
      <c r="B120" s="690" t="s">
        <v>678</v>
      </c>
      <c r="C120" s="687"/>
      <c r="D120" s="688">
        <f>'[2]总投资-发采购-0411-GLP拆分场外费用(司调)'!G136</f>
        <v>40.926720000000003</v>
      </c>
      <c r="E120" s="693">
        <f t="shared" si="9"/>
        <v>5.7562194092827008</v>
      </c>
      <c r="F120" s="689">
        <f t="shared" si="5"/>
        <v>5.7562194092827008</v>
      </c>
      <c r="G120" s="689">
        <f t="shared" si="6"/>
        <v>40.926720000000003</v>
      </c>
      <c r="H120" s="686"/>
      <c r="I120" s="686"/>
      <c r="J120" s="686"/>
      <c r="K120" s="697" t="s">
        <v>224</v>
      </c>
      <c r="L120" s="686"/>
      <c r="M120" s="780"/>
      <c r="N120" s="686"/>
      <c r="O120" s="686"/>
      <c r="P120" s="699"/>
      <c r="Q120" s="699"/>
      <c r="R120" s="699"/>
      <c r="S120" s="699"/>
      <c r="T120" s="707"/>
    </row>
    <row r="121" spans="1:20" hidden="1">
      <c r="A121" s="778" t="s">
        <v>267</v>
      </c>
      <c r="B121" s="690" t="s">
        <v>679</v>
      </c>
      <c r="C121" s="687"/>
      <c r="D121" s="688">
        <f>'[2]总投资-发采购-0411-GLP拆分场外费用(司调)'!G137</f>
        <v>368.34048000000001</v>
      </c>
      <c r="E121" s="693">
        <f t="shared" si="9"/>
        <v>51.805974683544306</v>
      </c>
      <c r="F121" s="689">
        <f t="shared" si="5"/>
        <v>51.805974683544306</v>
      </c>
      <c r="G121" s="689">
        <f t="shared" si="6"/>
        <v>368.34048000000001</v>
      </c>
      <c r="H121" s="686"/>
      <c r="I121" s="686"/>
      <c r="J121" s="686"/>
      <c r="K121" s="697" t="s">
        <v>224</v>
      </c>
      <c r="L121" s="686"/>
      <c r="M121" s="780"/>
      <c r="N121" s="686"/>
      <c r="O121" s="686"/>
      <c r="P121" s="699"/>
      <c r="Q121" s="699"/>
      <c r="R121" s="699"/>
      <c r="S121" s="699"/>
      <c r="T121" s="707"/>
    </row>
    <row r="122" spans="1:20" hidden="1">
      <c r="A122" s="778" t="s">
        <v>268</v>
      </c>
      <c r="B122" s="690" t="s">
        <v>680</v>
      </c>
      <c r="C122" s="687"/>
      <c r="D122" s="688">
        <f>'[2]总投资-发采购-0411-GLP拆分场外费用(司调)'!G138</f>
        <v>286.48703999999998</v>
      </c>
      <c r="E122" s="693">
        <f t="shared" si="9"/>
        <v>40.293535864978899</v>
      </c>
      <c r="F122" s="689">
        <f t="shared" si="5"/>
        <v>40.293535864978899</v>
      </c>
      <c r="G122" s="689">
        <f t="shared" si="6"/>
        <v>286.48703999999998</v>
      </c>
      <c r="H122" s="686"/>
      <c r="I122" s="686"/>
      <c r="J122" s="686"/>
      <c r="K122" s="697" t="s">
        <v>224</v>
      </c>
      <c r="L122" s="686"/>
      <c r="M122" s="780"/>
      <c r="N122" s="686"/>
      <c r="O122" s="686"/>
      <c r="P122" s="699"/>
      <c r="Q122" s="699"/>
      <c r="R122" s="699"/>
      <c r="S122" s="699"/>
      <c r="T122" s="707"/>
    </row>
    <row r="123" spans="1:20" hidden="1">
      <c r="A123" s="778" t="s">
        <v>269</v>
      </c>
      <c r="B123" s="690" t="s">
        <v>681</v>
      </c>
      <c r="C123" s="687"/>
      <c r="D123" s="688">
        <f>'[2]总投资-发采购-0411-GLP拆分场外费用(司调)'!G139</f>
        <v>634.36415999999997</v>
      </c>
      <c r="E123" s="693">
        <f t="shared" si="9"/>
        <v>89.221400843881852</v>
      </c>
      <c r="F123" s="689">
        <f t="shared" si="5"/>
        <v>89.221400843881852</v>
      </c>
      <c r="G123" s="689">
        <f t="shared" si="6"/>
        <v>634.36415999999997</v>
      </c>
      <c r="H123" s="686"/>
      <c r="I123" s="686"/>
      <c r="J123" s="686"/>
      <c r="K123" s="697" t="s">
        <v>224</v>
      </c>
      <c r="L123" s="686"/>
      <c r="M123" s="780"/>
      <c r="N123" s="686"/>
      <c r="O123" s="686"/>
      <c r="P123" s="699"/>
      <c r="Q123" s="699"/>
      <c r="R123" s="699"/>
      <c r="S123" s="699"/>
      <c r="T123" s="707"/>
    </row>
    <row r="124" spans="1:20" hidden="1">
      <c r="A124" s="778" t="s">
        <v>270</v>
      </c>
      <c r="B124" s="690" t="s">
        <v>682</v>
      </c>
      <c r="C124" s="687"/>
      <c r="D124" s="688">
        <f>'[2]总投资-发采购-0411-GLP拆分场外费用(司调)'!G140</f>
        <v>174.807908541004</v>
      </c>
      <c r="E124" s="693">
        <f t="shared" si="9"/>
        <v>24.586203732911954</v>
      </c>
      <c r="F124" s="689">
        <f t="shared" si="5"/>
        <v>24.586203732911954</v>
      </c>
      <c r="G124" s="689">
        <f t="shared" si="6"/>
        <v>174.807908541004</v>
      </c>
      <c r="H124" s="686"/>
      <c r="I124" s="686"/>
      <c r="J124" s="686"/>
      <c r="K124" s="697" t="s">
        <v>224</v>
      </c>
      <c r="L124" s="686"/>
      <c r="M124" s="780"/>
      <c r="N124" s="686"/>
      <c r="O124" s="686"/>
      <c r="P124" s="699"/>
      <c r="Q124" s="699"/>
      <c r="R124" s="699"/>
      <c r="S124" s="699"/>
      <c r="T124" s="707"/>
    </row>
    <row r="125" spans="1:20" hidden="1">
      <c r="A125" s="778" t="s">
        <v>271</v>
      </c>
      <c r="B125" s="690" t="s">
        <v>683</v>
      </c>
      <c r="C125" s="687"/>
      <c r="D125" s="688">
        <f>'[2]总投资-发采购-0411-GLP拆分场外费用(司调)'!G141</f>
        <v>639.48</v>
      </c>
      <c r="E125" s="693">
        <f t="shared" si="9"/>
        <v>89.940928270042193</v>
      </c>
      <c r="F125" s="689">
        <f t="shared" si="5"/>
        <v>89.940928270042193</v>
      </c>
      <c r="G125" s="689">
        <f t="shared" si="6"/>
        <v>639.48</v>
      </c>
      <c r="H125" s="686"/>
      <c r="I125" s="686"/>
      <c r="J125" s="686"/>
      <c r="K125" s="697" t="s">
        <v>224</v>
      </c>
      <c r="L125" s="686"/>
      <c r="M125" s="780"/>
      <c r="N125" s="686"/>
      <c r="O125" s="686"/>
      <c r="P125" s="699"/>
      <c r="Q125" s="699"/>
      <c r="R125" s="699"/>
      <c r="S125" s="699"/>
      <c r="T125" s="707"/>
    </row>
    <row r="126" spans="1:20" hidden="1">
      <c r="A126" s="778"/>
      <c r="B126" s="779" t="s">
        <v>205</v>
      </c>
      <c r="C126" s="687"/>
      <c r="D126" s="688">
        <f>'[2]总投资-发采购-0411-GLP拆分场外费用(司调)'!G142</f>
        <v>757.73281091787499</v>
      </c>
      <c r="E126" s="693">
        <f t="shared" si="9"/>
        <v>106.5728285397855</v>
      </c>
      <c r="F126" s="689">
        <f t="shared" si="5"/>
        <v>106.5728285397855</v>
      </c>
      <c r="G126" s="689">
        <f t="shared" si="6"/>
        <v>757.73281091787499</v>
      </c>
      <c r="H126" s="686"/>
      <c r="I126" s="686"/>
      <c r="J126" s="686"/>
      <c r="K126" s="697" t="s">
        <v>224</v>
      </c>
      <c r="L126" s="686"/>
      <c r="M126" s="780"/>
      <c r="N126" s="686"/>
      <c r="O126" s="686"/>
      <c r="P126" s="699"/>
      <c r="Q126" s="699"/>
      <c r="R126" s="699"/>
      <c r="S126" s="699"/>
      <c r="T126" s="707"/>
    </row>
    <row r="127" spans="1:20" hidden="1">
      <c r="A127" s="778" t="s">
        <v>272</v>
      </c>
      <c r="B127" s="690" t="s">
        <v>685</v>
      </c>
      <c r="C127" s="687"/>
      <c r="D127" s="688">
        <f>'[2]总投资-发采购-0411-GLP拆分场外费用(司调)'!G143</f>
        <v>72</v>
      </c>
      <c r="E127" s="693">
        <f t="shared" si="9"/>
        <v>10.126582278481012</v>
      </c>
      <c r="F127" s="689">
        <f t="shared" si="5"/>
        <v>10.126582278481012</v>
      </c>
      <c r="G127" s="689">
        <f t="shared" si="6"/>
        <v>72</v>
      </c>
      <c r="H127" s="686"/>
      <c r="I127" s="686"/>
      <c r="J127" s="686"/>
      <c r="K127" s="697" t="s">
        <v>224</v>
      </c>
      <c r="L127" s="686"/>
      <c r="M127" s="780"/>
      <c r="N127" s="686"/>
      <c r="O127" s="686"/>
      <c r="P127" s="699"/>
      <c r="Q127" s="699"/>
      <c r="R127" s="699"/>
      <c r="S127" s="699"/>
      <c r="T127" s="707"/>
    </row>
    <row r="128" spans="1:20" hidden="1">
      <c r="A128" s="778"/>
      <c r="B128" s="690" t="s">
        <v>686</v>
      </c>
      <c r="C128" s="687"/>
      <c r="D128" s="688">
        <f>'[2]总投资-发采购-0411-GLP拆分场外费用(司调)'!G144</f>
        <v>1</v>
      </c>
      <c r="E128" s="693">
        <f t="shared" si="9"/>
        <v>0.14064697609001406</v>
      </c>
      <c r="F128" s="689">
        <f t="shared" si="5"/>
        <v>0.14064697609001406</v>
      </c>
      <c r="G128" s="689">
        <f t="shared" si="6"/>
        <v>1</v>
      </c>
      <c r="H128" s="686"/>
      <c r="I128" s="686"/>
      <c r="J128" s="686"/>
      <c r="K128" s="697" t="s">
        <v>224</v>
      </c>
      <c r="L128" s="686"/>
      <c r="M128" s="780"/>
      <c r="N128" s="686"/>
      <c r="O128" s="686"/>
      <c r="P128" s="699"/>
      <c r="Q128" s="699"/>
      <c r="R128" s="699"/>
      <c r="S128" s="699"/>
      <c r="T128" s="707"/>
    </row>
    <row r="129" spans="1:20" hidden="1">
      <c r="A129" s="778"/>
      <c r="B129" s="690" t="s">
        <v>687</v>
      </c>
      <c r="C129" s="687"/>
      <c r="D129" s="688">
        <f>'[2]总投资-发采购-0411-GLP拆分场外费用(司调)'!G145</f>
        <v>13</v>
      </c>
      <c r="E129" s="693">
        <f t="shared" si="9"/>
        <v>1.8284106891701828</v>
      </c>
      <c r="F129" s="689">
        <f t="shared" si="5"/>
        <v>1.8284106891701828</v>
      </c>
      <c r="G129" s="689">
        <f t="shared" si="6"/>
        <v>13</v>
      </c>
      <c r="H129" s="686"/>
      <c r="I129" s="686"/>
      <c r="J129" s="686"/>
      <c r="K129" s="697" t="s">
        <v>224</v>
      </c>
      <c r="L129" s="686"/>
      <c r="M129" s="780"/>
      <c r="N129" s="686"/>
      <c r="O129" s="686"/>
      <c r="P129" s="699"/>
      <c r="Q129" s="699"/>
      <c r="R129" s="699"/>
      <c r="S129" s="699"/>
      <c r="T129" s="707"/>
    </row>
    <row r="130" spans="1:20" hidden="1">
      <c r="A130" s="778"/>
      <c r="B130" s="690" t="s">
        <v>688</v>
      </c>
      <c r="C130" s="687"/>
      <c r="D130" s="688">
        <f>'[2]总投资-发采购-0411-GLP拆分场外费用(司调)'!G146</f>
        <v>58</v>
      </c>
      <c r="E130" s="693">
        <f t="shared" si="9"/>
        <v>8.157524613220815</v>
      </c>
      <c r="F130" s="689">
        <f t="shared" si="5"/>
        <v>8.157524613220815</v>
      </c>
      <c r="G130" s="689">
        <f t="shared" si="6"/>
        <v>58</v>
      </c>
      <c r="H130" s="686"/>
      <c r="I130" s="686"/>
      <c r="J130" s="686"/>
      <c r="K130" s="697" t="s">
        <v>224</v>
      </c>
      <c r="L130" s="686"/>
      <c r="M130" s="780"/>
      <c r="N130" s="686"/>
      <c r="O130" s="686"/>
      <c r="P130" s="699"/>
      <c r="Q130" s="699"/>
      <c r="R130" s="699"/>
      <c r="S130" s="699"/>
      <c r="T130" s="707"/>
    </row>
    <row r="131" spans="1:20" hidden="1">
      <c r="A131" s="778">
        <v>2.13</v>
      </c>
      <c r="B131" s="690" t="s">
        <v>721</v>
      </c>
      <c r="C131" s="687"/>
      <c r="D131" s="688">
        <f>'[2]总投资-发采购-0411-GLP拆分场外费用(司调)'!G147</f>
        <v>15276.624860273199</v>
      </c>
      <c r="E131" s="693">
        <f t="shared" si="9"/>
        <v>2148.611091458959</v>
      </c>
      <c r="F131" s="689">
        <f t="shared" si="5"/>
        <v>2148.611091458959</v>
      </c>
      <c r="G131" s="689">
        <f t="shared" si="6"/>
        <v>15276.624860273199</v>
      </c>
      <c r="H131" s="686"/>
      <c r="I131" s="686"/>
      <c r="J131" s="686"/>
      <c r="K131" s="697" t="s">
        <v>224</v>
      </c>
      <c r="L131" s="686"/>
      <c r="M131" s="780"/>
      <c r="N131" s="686"/>
      <c r="O131" s="686"/>
      <c r="P131" s="699"/>
      <c r="Q131" s="699"/>
      <c r="R131" s="699"/>
      <c r="S131" s="699"/>
      <c r="T131" s="707"/>
    </row>
    <row r="132" spans="1:20" hidden="1">
      <c r="A132" s="778" t="s">
        <v>274</v>
      </c>
      <c r="B132" s="690" t="s">
        <v>677</v>
      </c>
      <c r="C132" s="687"/>
      <c r="D132" s="688">
        <f>'[2]总投资-发采购-0411-GLP拆分场外费用(司调)'!G148</f>
        <v>12124.859358359399</v>
      </c>
      <c r="E132" s="693">
        <f t="shared" si="9"/>
        <v>1705.3248042699577</v>
      </c>
      <c r="F132" s="689">
        <f t="shared" si="5"/>
        <v>1705.3248042699577</v>
      </c>
      <c r="G132" s="689">
        <f t="shared" si="6"/>
        <v>12124.859358359399</v>
      </c>
      <c r="H132" s="686"/>
      <c r="I132" s="686"/>
      <c r="J132" s="686"/>
      <c r="K132" s="697" t="s">
        <v>224</v>
      </c>
      <c r="L132" s="686"/>
      <c r="M132" s="780"/>
      <c r="N132" s="686"/>
      <c r="O132" s="686"/>
      <c r="P132" s="699"/>
      <c r="Q132" s="699"/>
      <c r="R132" s="699"/>
      <c r="S132" s="699"/>
      <c r="T132" s="707"/>
    </row>
    <row r="133" spans="1:20" hidden="1">
      <c r="A133" s="778" t="s">
        <v>275</v>
      </c>
      <c r="B133" s="690" t="s">
        <v>678</v>
      </c>
      <c r="C133" s="687"/>
      <c r="D133" s="688">
        <f>'[2]总投资-发采购-0411-GLP拆分场外费用(司调)'!G149</f>
        <v>40.926720000000003</v>
      </c>
      <c r="E133" s="693">
        <f t="shared" si="9"/>
        <v>5.7562194092827008</v>
      </c>
      <c r="F133" s="689">
        <f t="shared" si="5"/>
        <v>5.7562194092827008</v>
      </c>
      <c r="G133" s="689">
        <f t="shared" si="6"/>
        <v>40.926720000000003</v>
      </c>
      <c r="H133" s="686"/>
      <c r="I133" s="686"/>
      <c r="J133" s="686"/>
      <c r="K133" s="697" t="s">
        <v>224</v>
      </c>
      <c r="L133" s="686"/>
      <c r="M133" s="780"/>
      <c r="N133" s="686"/>
      <c r="O133" s="686"/>
      <c r="P133" s="699"/>
      <c r="Q133" s="699"/>
      <c r="R133" s="699"/>
      <c r="S133" s="699"/>
      <c r="T133" s="707"/>
    </row>
    <row r="134" spans="1:20" hidden="1">
      <c r="A134" s="778" t="s">
        <v>276</v>
      </c>
      <c r="B134" s="690" t="s">
        <v>679</v>
      </c>
      <c r="C134" s="687"/>
      <c r="D134" s="688">
        <f>'[2]总投资-发采购-0411-GLP拆分场外费用(司调)'!G150</f>
        <v>368.34048000000001</v>
      </c>
      <c r="E134" s="693">
        <f t="shared" si="9"/>
        <v>51.805974683544306</v>
      </c>
      <c r="F134" s="689">
        <f t="shared" si="5"/>
        <v>51.805974683544306</v>
      </c>
      <c r="G134" s="689">
        <f t="shared" si="6"/>
        <v>368.34048000000001</v>
      </c>
      <c r="H134" s="686"/>
      <c r="I134" s="686"/>
      <c r="J134" s="686"/>
      <c r="K134" s="697" t="s">
        <v>224</v>
      </c>
      <c r="L134" s="686"/>
      <c r="M134" s="780"/>
      <c r="N134" s="686"/>
      <c r="O134" s="686"/>
      <c r="P134" s="699"/>
      <c r="Q134" s="699"/>
      <c r="R134" s="699"/>
      <c r="S134" s="699"/>
      <c r="T134" s="707"/>
    </row>
    <row r="135" spans="1:20" hidden="1">
      <c r="A135" s="778" t="s">
        <v>277</v>
      </c>
      <c r="B135" s="690" t="s">
        <v>680</v>
      </c>
      <c r="C135" s="687"/>
      <c r="D135" s="688">
        <f>'[2]总投资-发采购-0411-GLP拆分场外费用(司调)'!G151</f>
        <v>286.48703999999998</v>
      </c>
      <c r="E135" s="693">
        <f t="shared" si="9"/>
        <v>40.293535864978899</v>
      </c>
      <c r="F135" s="689">
        <f t="shared" si="5"/>
        <v>40.293535864978899</v>
      </c>
      <c r="G135" s="689">
        <f t="shared" si="6"/>
        <v>286.48703999999998</v>
      </c>
      <c r="H135" s="686"/>
      <c r="I135" s="686"/>
      <c r="J135" s="686"/>
      <c r="K135" s="697" t="s">
        <v>224</v>
      </c>
      <c r="L135" s="686"/>
      <c r="M135" s="780"/>
      <c r="N135" s="686"/>
      <c r="O135" s="686"/>
      <c r="P135" s="699"/>
      <c r="Q135" s="699"/>
      <c r="R135" s="699"/>
      <c r="S135" s="699"/>
      <c r="T135" s="707"/>
    </row>
    <row r="136" spans="1:20" hidden="1">
      <c r="A136" s="778" t="s">
        <v>278</v>
      </c>
      <c r="B136" s="690" t="s">
        <v>681</v>
      </c>
      <c r="C136" s="687"/>
      <c r="D136" s="688">
        <f>'[2]总投资-发采购-0411-GLP拆分场外费用(司调)'!G152</f>
        <v>634.36415999999997</v>
      </c>
      <c r="E136" s="693">
        <f t="shared" si="9"/>
        <v>89.221400843881852</v>
      </c>
      <c r="F136" s="689">
        <f t="shared" si="5"/>
        <v>89.221400843881852</v>
      </c>
      <c r="G136" s="689">
        <f t="shared" ref="G136:G157" si="10">D136</f>
        <v>634.36415999999997</v>
      </c>
      <c r="H136" s="686"/>
      <c r="I136" s="686"/>
      <c r="J136" s="686"/>
      <c r="K136" s="697" t="s">
        <v>224</v>
      </c>
      <c r="L136" s="686"/>
      <c r="M136" s="780"/>
      <c r="N136" s="686"/>
      <c r="O136" s="686"/>
      <c r="P136" s="699"/>
      <c r="Q136" s="699"/>
      <c r="R136" s="699"/>
      <c r="S136" s="699"/>
      <c r="T136" s="707"/>
    </row>
    <row r="137" spans="1:20" hidden="1">
      <c r="A137" s="778" t="s">
        <v>279</v>
      </c>
      <c r="B137" s="690" t="s">
        <v>682</v>
      </c>
      <c r="C137" s="687"/>
      <c r="D137" s="688">
        <f>'[2]总投资-发采购-0411-GLP拆分场外费用(司调)'!G153</f>
        <v>174.807908541004</v>
      </c>
      <c r="E137" s="693">
        <f t="shared" si="9"/>
        <v>24.586203732911954</v>
      </c>
      <c r="F137" s="689">
        <f t="shared" si="5"/>
        <v>24.586203732911954</v>
      </c>
      <c r="G137" s="689">
        <f t="shared" si="10"/>
        <v>174.807908541004</v>
      </c>
      <c r="H137" s="686"/>
      <c r="I137" s="686"/>
      <c r="J137" s="686"/>
      <c r="K137" s="697" t="s">
        <v>224</v>
      </c>
      <c r="L137" s="686"/>
      <c r="M137" s="780"/>
      <c r="N137" s="686"/>
      <c r="O137" s="686"/>
      <c r="P137" s="699"/>
      <c r="Q137" s="699"/>
      <c r="R137" s="699"/>
      <c r="S137" s="699"/>
      <c r="T137" s="707"/>
    </row>
    <row r="138" spans="1:20" hidden="1">
      <c r="A138" s="778" t="s">
        <v>280</v>
      </c>
      <c r="B138" s="690" t="s">
        <v>683</v>
      </c>
      <c r="C138" s="687"/>
      <c r="D138" s="688">
        <f>'[2]总投资-发采购-0411-GLP拆分场外费用(司调)'!G154</f>
        <v>639.48</v>
      </c>
      <c r="E138" s="693">
        <f t="shared" si="9"/>
        <v>89.940928270042193</v>
      </c>
      <c r="F138" s="689">
        <f t="shared" si="5"/>
        <v>89.940928270042193</v>
      </c>
      <c r="G138" s="689">
        <f t="shared" si="10"/>
        <v>639.48</v>
      </c>
      <c r="H138" s="686"/>
      <c r="I138" s="686"/>
      <c r="J138" s="686"/>
      <c r="K138" s="697" t="s">
        <v>224</v>
      </c>
      <c r="L138" s="686"/>
      <c r="M138" s="780"/>
      <c r="N138" s="686"/>
      <c r="O138" s="686"/>
      <c r="P138" s="699"/>
      <c r="Q138" s="699"/>
      <c r="R138" s="699"/>
      <c r="S138" s="699"/>
      <c r="T138" s="707"/>
    </row>
    <row r="139" spans="1:20" hidden="1">
      <c r="A139" s="778"/>
      <c r="B139" s="779" t="s">
        <v>205</v>
      </c>
      <c r="C139" s="687"/>
      <c r="D139" s="688">
        <f>'[2]总投资-发采购-0411-GLP拆分场外费用(司调)'!G155</f>
        <v>935.35919337286396</v>
      </c>
      <c r="E139" s="693">
        <f t="shared" si="9"/>
        <v>131.55544210588803</v>
      </c>
      <c r="F139" s="689">
        <f t="shared" si="5"/>
        <v>131.55544210588803</v>
      </c>
      <c r="G139" s="689">
        <f t="shared" si="10"/>
        <v>935.35919337286396</v>
      </c>
      <c r="H139" s="686"/>
      <c r="I139" s="686"/>
      <c r="J139" s="686"/>
      <c r="K139" s="697" t="s">
        <v>224</v>
      </c>
      <c r="L139" s="686"/>
      <c r="M139" s="780"/>
      <c r="N139" s="686"/>
      <c r="O139" s="686"/>
      <c r="P139" s="699"/>
      <c r="Q139" s="699"/>
      <c r="R139" s="699"/>
      <c r="S139" s="699"/>
      <c r="T139" s="707"/>
    </row>
    <row r="140" spans="1:20" hidden="1">
      <c r="A140" s="778" t="s">
        <v>281</v>
      </c>
      <c r="B140" s="690" t="s">
        <v>685</v>
      </c>
      <c r="C140" s="687"/>
      <c r="D140" s="688">
        <f>'[2]总投资-发采购-0411-GLP拆分场外费用(司调)'!G156</f>
        <v>72</v>
      </c>
      <c r="E140" s="693">
        <f t="shared" si="9"/>
        <v>10.126582278481012</v>
      </c>
      <c r="F140" s="689">
        <f t="shared" si="5"/>
        <v>10.126582278481012</v>
      </c>
      <c r="G140" s="689">
        <f t="shared" si="10"/>
        <v>72</v>
      </c>
      <c r="H140" s="686"/>
      <c r="I140" s="686"/>
      <c r="J140" s="686"/>
      <c r="K140" s="697" t="s">
        <v>224</v>
      </c>
      <c r="L140" s="686"/>
      <c r="M140" s="780"/>
      <c r="N140" s="686"/>
      <c r="O140" s="686"/>
      <c r="P140" s="699"/>
      <c r="Q140" s="699"/>
      <c r="R140" s="699"/>
      <c r="S140" s="699"/>
      <c r="T140" s="707"/>
    </row>
    <row r="141" spans="1:20" hidden="1">
      <c r="A141" s="778"/>
      <c r="B141" s="690" t="s">
        <v>686</v>
      </c>
      <c r="C141" s="687"/>
      <c r="D141" s="688">
        <f>'[2]总投资-发采购-0411-GLP拆分场外费用(司调)'!G157</f>
        <v>1</v>
      </c>
      <c r="E141" s="693">
        <f t="shared" si="9"/>
        <v>0.14064697609001406</v>
      </c>
      <c r="F141" s="689">
        <f t="shared" si="5"/>
        <v>0.14064697609001406</v>
      </c>
      <c r="G141" s="689">
        <f t="shared" si="10"/>
        <v>1</v>
      </c>
      <c r="H141" s="686"/>
      <c r="I141" s="686"/>
      <c r="J141" s="686"/>
      <c r="K141" s="697" t="s">
        <v>224</v>
      </c>
      <c r="L141" s="686"/>
      <c r="M141" s="780"/>
      <c r="N141" s="686"/>
      <c r="O141" s="686"/>
      <c r="P141" s="699"/>
      <c r="Q141" s="699"/>
      <c r="R141" s="699"/>
      <c r="S141" s="699"/>
      <c r="T141" s="707"/>
    </row>
    <row r="142" spans="1:20" hidden="1">
      <c r="A142" s="778"/>
      <c r="B142" s="690" t="s">
        <v>687</v>
      </c>
      <c r="C142" s="687"/>
      <c r="D142" s="688">
        <f>'[2]总投资-发采购-0411-GLP拆分场外费用(司调)'!G158</f>
        <v>13</v>
      </c>
      <c r="E142" s="693">
        <f t="shared" si="9"/>
        <v>1.8284106891701828</v>
      </c>
      <c r="F142" s="689">
        <f t="shared" si="5"/>
        <v>1.8284106891701828</v>
      </c>
      <c r="G142" s="689">
        <f t="shared" si="10"/>
        <v>13</v>
      </c>
      <c r="H142" s="686"/>
      <c r="I142" s="686"/>
      <c r="J142" s="686"/>
      <c r="K142" s="697" t="s">
        <v>224</v>
      </c>
      <c r="L142" s="686"/>
      <c r="M142" s="780"/>
      <c r="N142" s="686"/>
      <c r="O142" s="686"/>
      <c r="P142" s="699"/>
      <c r="Q142" s="699"/>
      <c r="R142" s="699"/>
      <c r="S142" s="699"/>
      <c r="T142" s="707"/>
    </row>
    <row r="143" spans="1:20" hidden="1">
      <c r="A143" s="778"/>
      <c r="B143" s="690" t="s">
        <v>688</v>
      </c>
      <c r="C143" s="687"/>
      <c r="D143" s="688">
        <f>'[2]总投资-发采购-0411-GLP拆分场外费用(司调)'!G159</f>
        <v>58</v>
      </c>
      <c r="E143" s="693">
        <f t="shared" si="9"/>
        <v>8.157524613220815</v>
      </c>
      <c r="F143" s="689">
        <f t="shared" si="5"/>
        <v>8.157524613220815</v>
      </c>
      <c r="G143" s="689">
        <f t="shared" si="10"/>
        <v>58</v>
      </c>
      <c r="H143" s="686"/>
      <c r="I143" s="686"/>
      <c r="J143" s="686"/>
      <c r="K143" s="697" t="s">
        <v>224</v>
      </c>
      <c r="L143" s="686"/>
      <c r="M143" s="780"/>
      <c r="N143" s="686"/>
      <c r="O143" s="686"/>
      <c r="P143" s="699"/>
      <c r="Q143" s="699"/>
      <c r="R143" s="699"/>
      <c r="S143" s="699"/>
      <c r="T143" s="707"/>
    </row>
    <row r="144" spans="1:20" hidden="1">
      <c r="A144" s="778">
        <v>2.14</v>
      </c>
      <c r="B144" s="690" t="s">
        <v>722</v>
      </c>
      <c r="C144" s="687"/>
      <c r="D144" s="688">
        <f>'[2]总投资-发采购-0411-GLP拆分场外费用(司调)'!G160</f>
        <v>17183.3026631424</v>
      </c>
      <c r="E144" s="693">
        <f t="shared" si="9"/>
        <v>2416.7795588104641</v>
      </c>
      <c r="F144" s="689">
        <f t="shared" ref="F144:F207" si="11">E144</f>
        <v>2416.7795588104641</v>
      </c>
      <c r="G144" s="689">
        <f t="shared" si="10"/>
        <v>17183.3026631424</v>
      </c>
      <c r="H144" s="686"/>
      <c r="I144" s="686"/>
      <c r="J144" s="686"/>
      <c r="K144" s="697" t="s">
        <v>224</v>
      </c>
      <c r="L144" s="686"/>
      <c r="M144" s="780"/>
      <c r="N144" s="686"/>
      <c r="O144" s="686"/>
      <c r="P144" s="699"/>
      <c r="Q144" s="699"/>
      <c r="R144" s="699"/>
      <c r="S144" s="699"/>
      <c r="T144" s="707"/>
    </row>
    <row r="145" spans="1:20" hidden="1">
      <c r="A145" s="778" t="s">
        <v>283</v>
      </c>
      <c r="B145" s="690" t="s">
        <v>677</v>
      </c>
      <c r="C145" s="687"/>
      <c r="D145" s="688">
        <f>'[2]总投资-发采购-0411-GLP拆分场外费用(司调)'!G161</f>
        <v>13708.4401640299</v>
      </c>
      <c r="E145" s="693">
        <f t="shared" si="9"/>
        <v>1928.0506559817018</v>
      </c>
      <c r="F145" s="689">
        <f t="shared" si="11"/>
        <v>1928.0506559817018</v>
      </c>
      <c r="G145" s="689">
        <f t="shared" si="10"/>
        <v>13708.4401640299</v>
      </c>
      <c r="H145" s="686"/>
      <c r="I145" s="686"/>
      <c r="J145" s="686"/>
      <c r="K145" s="697" t="s">
        <v>224</v>
      </c>
      <c r="L145" s="686"/>
      <c r="M145" s="780"/>
      <c r="N145" s="686"/>
      <c r="O145" s="686"/>
      <c r="P145" s="699"/>
      <c r="Q145" s="699"/>
      <c r="R145" s="699"/>
      <c r="S145" s="699"/>
      <c r="T145" s="707"/>
    </row>
    <row r="146" spans="1:20" hidden="1">
      <c r="A146" s="778" t="s">
        <v>284</v>
      </c>
      <c r="B146" s="690" t="s">
        <v>678</v>
      </c>
      <c r="C146" s="687"/>
      <c r="D146" s="688">
        <f>'[2]总投资-发采购-0411-GLP拆分场外费用(司调)'!G162</f>
        <v>46.271999999999998</v>
      </c>
      <c r="E146" s="693">
        <f t="shared" si="9"/>
        <v>6.5080168776371305</v>
      </c>
      <c r="F146" s="689">
        <f t="shared" si="11"/>
        <v>6.5080168776371305</v>
      </c>
      <c r="G146" s="689">
        <f t="shared" si="10"/>
        <v>46.271999999999998</v>
      </c>
      <c r="H146" s="686"/>
      <c r="I146" s="686"/>
      <c r="J146" s="686"/>
      <c r="K146" s="697" t="s">
        <v>224</v>
      </c>
      <c r="L146" s="686"/>
      <c r="M146" s="780"/>
      <c r="N146" s="686"/>
      <c r="O146" s="686"/>
      <c r="P146" s="699"/>
      <c r="Q146" s="699"/>
      <c r="R146" s="699"/>
      <c r="S146" s="699"/>
      <c r="T146" s="707"/>
    </row>
    <row r="147" spans="1:20" hidden="1">
      <c r="A147" s="778" t="s">
        <v>285</v>
      </c>
      <c r="B147" s="690" t="s">
        <v>679</v>
      </c>
      <c r="C147" s="687"/>
      <c r="D147" s="688">
        <f>'[2]总投资-发采购-0411-GLP拆分场外费用(司调)'!G163</f>
        <v>416.44799999999998</v>
      </c>
      <c r="E147" s="693">
        <f t="shared" si="9"/>
        <v>58.57215189873417</v>
      </c>
      <c r="F147" s="689">
        <f t="shared" si="11"/>
        <v>58.57215189873417</v>
      </c>
      <c r="G147" s="689">
        <f t="shared" si="10"/>
        <v>416.44799999999998</v>
      </c>
      <c r="H147" s="686"/>
      <c r="I147" s="686"/>
      <c r="J147" s="686"/>
      <c r="K147" s="697" t="s">
        <v>224</v>
      </c>
      <c r="L147" s="686"/>
      <c r="M147" s="780"/>
      <c r="N147" s="686"/>
      <c r="O147" s="686"/>
      <c r="P147" s="699"/>
      <c r="Q147" s="699"/>
      <c r="R147" s="699"/>
      <c r="S147" s="699"/>
      <c r="T147" s="707"/>
    </row>
    <row r="148" spans="1:20" hidden="1">
      <c r="A148" s="778" t="s">
        <v>286</v>
      </c>
      <c r="B148" s="690" t="s">
        <v>680</v>
      </c>
      <c r="C148" s="687"/>
      <c r="D148" s="688">
        <f>'[2]总投资-发采购-0411-GLP拆分场外费用(司调)'!G164</f>
        <v>323.904</v>
      </c>
      <c r="E148" s="693">
        <f t="shared" si="9"/>
        <v>45.556118143459912</v>
      </c>
      <c r="F148" s="689">
        <f t="shared" si="11"/>
        <v>45.556118143459912</v>
      </c>
      <c r="G148" s="689">
        <f t="shared" si="10"/>
        <v>323.904</v>
      </c>
      <c r="H148" s="686"/>
      <c r="I148" s="686"/>
      <c r="J148" s="686"/>
      <c r="K148" s="697" t="s">
        <v>224</v>
      </c>
      <c r="L148" s="686"/>
      <c r="M148" s="780"/>
      <c r="N148" s="686"/>
      <c r="O148" s="686"/>
      <c r="P148" s="699"/>
      <c r="Q148" s="699"/>
      <c r="R148" s="699"/>
      <c r="S148" s="699"/>
      <c r="T148" s="707"/>
    </row>
    <row r="149" spans="1:20" hidden="1">
      <c r="A149" s="778" t="s">
        <v>287</v>
      </c>
      <c r="B149" s="690" t="s">
        <v>681</v>
      </c>
      <c r="C149" s="687"/>
      <c r="D149" s="688">
        <f>'[2]总投资-发采购-0411-GLP拆分场外费用(司调)'!G165</f>
        <v>717.21600000000001</v>
      </c>
      <c r="E149" s="693">
        <f t="shared" si="9"/>
        <v>100.87426160337553</v>
      </c>
      <c r="F149" s="689">
        <f t="shared" si="11"/>
        <v>100.87426160337553</v>
      </c>
      <c r="G149" s="689">
        <f t="shared" si="10"/>
        <v>717.21600000000001</v>
      </c>
      <c r="H149" s="686"/>
      <c r="I149" s="686"/>
      <c r="J149" s="686"/>
      <c r="K149" s="697" t="s">
        <v>224</v>
      </c>
      <c r="L149" s="686"/>
      <c r="M149" s="780"/>
      <c r="N149" s="686"/>
      <c r="O149" s="686"/>
      <c r="P149" s="699"/>
      <c r="Q149" s="699"/>
      <c r="R149" s="699"/>
      <c r="S149" s="699"/>
      <c r="T149" s="707"/>
    </row>
    <row r="150" spans="1:20" hidden="1">
      <c r="A150" s="778" t="s">
        <v>288</v>
      </c>
      <c r="B150" s="690" t="s">
        <v>682</v>
      </c>
      <c r="C150" s="687"/>
      <c r="D150" s="688">
        <f>'[2]总投资-发采购-0411-GLP拆分场外费用(司调)'!G166</f>
        <v>197.63889077867299</v>
      </c>
      <c r="E150" s="693">
        <f t="shared" si="9"/>
        <v>27.797312345804919</v>
      </c>
      <c r="F150" s="689">
        <f t="shared" si="11"/>
        <v>27.797312345804919</v>
      </c>
      <c r="G150" s="689">
        <f t="shared" si="10"/>
        <v>197.63889077867299</v>
      </c>
      <c r="H150" s="686"/>
      <c r="I150" s="686"/>
      <c r="J150" s="686"/>
      <c r="K150" s="697" t="s">
        <v>224</v>
      </c>
      <c r="L150" s="686"/>
      <c r="M150" s="780"/>
      <c r="N150" s="686"/>
      <c r="O150" s="686"/>
      <c r="P150" s="699"/>
      <c r="Q150" s="699"/>
      <c r="R150" s="699"/>
      <c r="S150" s="699"/>
      <c r="T150" s="707"/>
    </row>
    <row r="151" spans="1:20" hidden="1">
      <c r="A151" s="778" t="s">
        <v>289</v>
      </c>
      <c r="B151" s="690" t="s">
        <v>683</v>
      </c>
      <c r="C151" s="687"/>
      <c r="D151" s="688">
        <f>'[2]总投资-发采购-0411-GLP拆分场外费用(司调)'!G167</f>
        <v>723</v>
      </c>
      <c r="E151" s="693">
        <f t="shared" si="9"/>
        <v>101.68776371308016</v>
      </c>
      <c r="F151" s="689">
        <f t="shared" si="11"/>
        <v>101.68776371308016</v>
      </c>
      <c r="G151" s="689">
        <f t="shared" si="10"/>
        <v>723</v>
      </c>
      <c r="H151" s="686"/>
      <c r="I151" s="686"/>
      <c r="J151" s="686"/>
      <c r="K151" s="697" t="s">
        <v>224</v>
      </c>
      <c r="L151" s="686"/>
      <c r="M151" s="780"/>
      <c r="N151" s="686"/>
      <c r="O151" s="686"/>
      <c r="P151" s="699"/>
      <c r="Q151" s="699"/>
      <c r="R151" s="699"/>
      <c r="S151" s="699"/>
      <c r="T151" s="707"/>
    </row>
    <row r="152" spans="1:20" hidden="1">
      <c r="A152" s="778"/>
      <c r="B152" s="779" t="s">
        <v>205</v>
      </c>
      <c r="C152" s="687"/>
      <c r="D152" s="688">
        <f>'[2]总投资-发采购-0411-GLP拆分场外费用(司调)'!G168</f>
        <v>972.38360833383695</v>
      </c>
      <c r="E152" s="693">
        <f t="shared" si="9"/>
        <v>136.76281411165075</v>
      </c>
      <c r="F152" s="689">
        <f t="shared" si="11"/>
        <v>136.76281411165075</v>
      </c>
      <c r="G152" s="689">
        <f t="shared" si="10"/>
        <v>972.38360833383695</v>
      </c>
      <c r="H152" s="686"/>
      <c r="I152" s="686"/>
      <c r="J152" s="686"/>
      <c r="K152" s="697" t="s">
        <v>224</v>
      </c>
      <c r="L152" s="686"/>
      <c r="M152" s="780"/>
      <c r="N152" s="686"/>
      <c r="O152" s="686"/>
      <c r="P152" s="699"/>
      <c r="Q152" s="699"/>
      <c r="R152" s="699"/>
      <c r="S152" s="699"/>
      <c r="T152" s="707"/>
    </row>
    <row r="153" spans="1:20" hidden="1">
      <c r="A153" s="778" t="s">
        <v>290</v>
      </c>
      <c r="B153" s="690" t="s">
        <v>685</v>
      </c>
      <c r="C153" s="687"/>
      <c r="D153" s="688">
        <f>'[2]总投资-发采购-0411-GLP拆分场外费用(司调)'!G169</f>
        <v>78</v>
      </c>
      <c r="E153" s="693">
        <f t="shared" si="9"/>
        <v>10.970464135021096</v>
      </c>
      <c r="F153" s="689">
        <f t="shared" si="11"/>
        <v>10.970464135021096</v>
      </c>
      <c r="G153" s="689">
        <f t="shared" si="10"/>
        <v>78</v>
      </c>
      <c r="H153" s="686"/>
      <c r="I153" s="686"/>
      <c r="J153" s="686"/>
      <c r="K153" s="697" t="s">
        <v>224</v>
      </c>
      <c r="L153" s="686"/>
      <c r="M153" s="780"/>
      <c r="N153" s="686"/>
      <c r="O153" s="686"/>
      <c r="P153" s="699"/>
      <c r="Q153" s="699"/>
      <c r="R153" s="699"/>
      <c r="S153" s="699"/>
      <c r="T153" s="707"/>
    </row>
    <row r="154" spans="1:20" hidden="1">
      <c r="A154" s="778"/>
      <c r="B154" s="690" t="s">
        <v>686</v>
      </c>
      <c r="C154" s="687"/>
      <c r="D154" s="688">
        <f>'[2]总投资-发采购-0411-GLP拆分场外费用(司调)'!G170</f>
        <v>1</v>
      </c>
      <c r="E154" s="693">
        <f t="shared" si="9"/>
        <v>0.14064697609001406</v>
      </c>
      <c r="F154" s="689">
        <f t="shared" si="11"/>
        <v>0.14064697609001406</v>
      </c>
      <c r="G154" s="689">
        <f t="shared" si="10"/>
        <v>1</v>
      </c>
      <c r="H154" s="686"/>
      <c r="I154" s="686"/>
      <c r="J154" s="686"/>
      <c r="K154" s="697" t="s">
        <v>224</v>
      </c>
      <c r="L154" s="686"/>
      <c r="M154" s="780"/>
      <c r="N154" s="686"/>
      <c r="O154" s="686"/>
      <c r="P154" s="699"/>
      <c r="Q154" s="699"/>
      <c r="R154" s="699"/>
      <c r="S154" s="699"/>
      <c r="T154" s="707"/>
    </row>
    <row r="155" spans="1:20" hidden="1">
      <c r="A155" s="778"/>
      <c r="B155" s="690" t="s">
        <v>687</v>
      </c>
      <c r="C155" s="687"/>
      <c r="D155" s="688">
        <f>'[2]总投资-发采购-0411-GLP拆分场外费用(司调)'!G171</f>
        <v>14</v>
      </c>
      <c r="E155" s="693">
        <f t="shared" si="9"/>
        <v>1.9690576652601968</v>
      </c>
      <c r="F155" s="689">
        <f t="shared" si="11"/>
        <v>1.9690576652601968</v>
      </c>
      <c r="G155" s="689">
        <f t="shared" si="10"/>
        <v>14</v>
      </c>
      <c r="H155" s="686"/>
      <c r="I155" s="686"/>
      <c r="J155" s="686"/>
      <c r="K155" s="697" t="s">
        <v>224</v>
      </c>
      <c r="L155" s="686"/>
      <c r="M155" s="780"/>
      <c r="N155" s="686"/>
      <c r="O155" s="686"/>
      <c r="P155" s="699"/>
      <c r="Q155" s="699"/>
      <c r="R155" s="699"/>
      <c r="S155" s="699"/>
      <c r="T155" s="707"/>
    </row>
    <row r="156" spans="1:20" hidden="1">
      <c r="A156" s="778"/>
      <c r="B156" s="690" t="s">
        <v>688</v>
      </c>
      <c r="C156" s="687"/>
      <c r="D156" s="688">
        <f>'[2]总投资-发采购-0411-GLP拆分场外费用(司调)'!G172</f>
        <v>63</v>
      </c>
      <c r="E156" s="693">
        <f t="shared" si="9"/>
        <v>8.8607594936708853</v>
      </c>
      <c r="F156" s="689">
        <f t="shared" si="11"/>
        <v>8.8607594936708853</v>
      </c>
      <c r="G156" s="689">
        <f t="shared" si="10"/>
        <v>63</v>
      </c>
      <c r="H156" s="686"/>
      <c r="I156" s="686"/>
      <c r="J156" s="686"/>
      <c r="K156" s="697" t="s">
        <v>224</v>
      </c>
      <c r="L156" s="686"/>
      <c r="M156" s="780"/>
      <c r="N156" s="686"/>
      <c r="O156" s="686"/>
      <c r="P156" s="699"/>
      <c r="Q156" s="699"/>
      <c r="R156" s="699"/>
      <c r="S156" s="699"/>
      <c r="T156" s="707"/>
    </row>
    <row r="157" spans="1:20" ht="17.25" customHeight="1">
      <c r="A157" s="775" t="s">
        <v>41</v>
      </c>
      <c r="B157" s="776" t="s">
        <v>291</v>
      </c>
      <c r="C157" s="683" t="s">
        <v>723</v>
      </c>
      <c r="D157" s="684">
        <f>SUM('[2]总投资-发采购-0411-GLP拆分场外费用(司调)'!G30,'[2]总投资-发采购-0411-GLP拆分场外费用(司调)'!G43,'[2]总投资-发采购-0411-GLP拆分场外费用(司调)'!G56,'[2]总投资-发采购-0411-GLP拆分场外费用(司调)'!G69)</f>
        <v>23398.367016560886</v>
      </c>
      <c r="E157" s="695">
        <f t="shared" si="9"/>
        <v>3290.9095663236126</v>
      </c>
      <c r="F157" s="685">
        <f t="shared" si="11"/>
        <v>3290.9095663236126</v>
      </c>
      <c r="G157" s="685">
        <f t="shared" si="10"/>
        <v>23398.367016560886</v>
      </c>
      <c r="H157" s="606" t="s">
        <v>133</v>
      </c>
      <c r="I157" s="606" t="s">
        <v>30</v>
      </c>
      <c r="J157" s="606">
        <v>18</v>
      </c>
      <c r="K157" s="697" t="s">
        <v>224</v>
      </c>
      <c r="L157" s="606" t="s">
        <v>135</v>
      </c>
      <c r="M157" s="780"/>
      <c r="N157" s="606"/>
      <c r="O157" s="606"/>
      <c r="P157" s="698" t="s">
        <v>293</v>
      </c>
      <c r="Q157" s="698" t="s">
        <v>294</v>
      </c>
      <c r="R157" s="698" t="s">
        <v>339</v>
      </c>
      <c r="S157" s="698" t="s">
        <v>296</v>
      </c>
      <c r="T157" s="697"/>
    </row>
    <row r="158" spans="1:20" hidden="1">
      <c r="A158" s="778">
        <v>2.4</v>
      </c>
      <c r="B158" s="690" t="s">
        <v>724</v>
      </c>
      <c r="C158" s="687"/>
      <c r="D158" s="688">
        <f>'[2]总投资-发采购-0411-GLP拆分场外费用(司调)'!G30</f>
        <v>5921.3918794486299</v>
      </c>
      <c r="E158" s="693">
        <f t="shared" si="9"/>
        <v>832.82586208841485</v>
      </c>
      <c r="F158" s="689">
        <f t="shared" si="11"/>
        <v>832.82586208841485</v>
      </c>
      <c r="G158" s="689">
        <f t="shared" ref="G158:G211" si="12">D158</f>
        <v>5921.3918794486299</v>
      </c>
      <c r="H158" s="606"/>
      <c r="I158" s="606"/>
      <c r="J158" s="606"/>
      <c r="K158" s="697" t="s">
        <v>224</v>
      </c>
      <c r="L158" s="606"/>
      <c r="M158" s="606"/>
      <c r="N158" s="606"/>
      <c r="O158" s="606"/>
      <c r="P158" s="698"/>
      <c r="Q158" s="698"/>
      <c r="R158" s="698"/>
      <c r="S158" s="698"/>
      <c r="T158" s="697"/>
    </row>
    <row r="159" spans="1:20" hidden="1">
      <c r="A159" s="777" t="s">
        <v>298</v>
      </c>
      <c r="B159" s="690" t="s">
        <v>677</v>
      </c>
      <c r="C159" s="687"/>
      <c r="D159" s="688">
        <f>'[2]总投资-发采购-0411-GLP拆分场外费用(司调)'!G31</f>
        <v>3574</v>
      </c>
      <c r="E159" s="693">
        <f t="shared" si="9"/>
        <v>502.67229254571026</v>
      </c>
      <c r="F159" s="689">
        <f t="shared" si="11"/>
        <v>502.67229254571026</v>
      </c>
      <c r="G159" s="689">
        <f t="shared" si="12"/>
        <v>3574</v>
      </c>
      <c r="H159" s="606"/>
      <c r="I159" s="606"/>
      <c r="J159" s="606"/>
      <c r="K159" s="697" t="s">
        <v>224</v>
      </c>
      <c r="L159" s="606"/>
      <c r="M159" s="606"/>
      <c r="N159" s="606"/>
      <c r="O159" s="606"/>
      <c r="P159" s="698"/>
      <c r="Q159" s="698"/>
      <c r="R159" s="698"/>
      <c r="S159" s="698"/>
      <c r="T159" s="697"/>
    </row>
    <row r="160" spans="1:20" hidden="1">
      <c r="A160" s="777" t="s">
        <v>299</v>
      </c>
      <c r="B160" s="690" t="s">
        <v>678</v>
      </c>
      <c r="C160" s="687"/>
      <c r="D160" s="688">
        <f>'[2]总投资-发采购-0411-GLP拆分场外费用(司调)'!G32</f>
        <v>18.29888</v>
      </c>
      <c r="E160" s="693">
        <f t="shared" si="9"/>
        <v>2.5736821378340364</v>
      </c>
      <c r="F160" s="689">
        <f t="shared" si="11"/>
        <v>2.5736821378340364</v>
      </c>
      <c r="G160" s="689">
        <f t="shared" si="12"/>
        <v>18.29888</v>
      </c>
      <c r="H160" s="606"/>
      <c r="I160" s="606"/>
      <c r="J160" s="606"/>
      <c r="K160" s="697" t="s">
        <v>224</v>
      </c>
      <c r="L160" s="606"/>
      <c r="M160" s="606"/>
      <c r="N160" s="606"/>
      <c r="O160" s="606"/>
      <c r="P160" s="698"/>
      <c r="Q160" s="698"/>
      <c r="R160" s="698"/>
      <c r="S160" s="698"/>
      <c r="T160" s="697"/>
    </row>
    <row r="161" spans="1:20" hidden="1">
      <c r="A161" s="777" t="s">
        <v>300</v>
      </c>
      <c r="B161" s="690" t="s">
        <v>679</v>
      </c>
      <c r="C161" s="687"/>
      <c r="D161" s="688">
        <f>'[2]总投资-发采购-0411-GLP拆分场外费用(司调)'!G33</f>
        <v>164.68992</v>
      </c>
      <c r="E161" s="693">
        <f t="shared" si="9"/>
        <v>23.163139240506329</v>
      </c>
      <c r="F161" s="689">
        <f t="shared" si="11"/>
        <v>23.163139240506329</v>
      </c>
      <c r="G161" s="689">
        <f t="shared" si="12"/>
        <v>164.68992</v>
      </c>
      <c r="H161" s="606"/>
      <c r="I161" s="606"/>
      <c r="J161" s="606"/>
      <c r="K161" s="697" t="s">
        <v>224</v>
      </c>
      <c r="L161" s="606"/>
      <c r="M161" s="606"/>
      <c r="N161" s="606"/>
      <c r="O161" s="606"/>
      <c r="P161" s="698"/>
      <c r="Q161" s="698"/>
      <c r="R161" s="698"/>
      <c r="S161" s="698"/>
      <c r="T161" s="697"/>
    </row>
    <row r="162" spans="1:20" hidden="1">
      <c r="A162" s="777" t="s">
        <v>301</v>
      </c>
      <c r="B162" s="690" t="s">
        <v>680</v>
      </c>
      <c r="C162" s="687"/>
      <c r="D162" s="688">
        <f>'[2]总投资-发采购-0411-GLP拆分场外费用(司调)'!G34</f>
        <v>128.09216000000001</v>
      </c>
      <c r="E162" s="693">
        <f t="shared" si="9"/>
        <v>18.015774964838258</v>
      </c>
      <c r="F162" s="689">
        <f t="shared" si="11"/>
        <v>18.015774964838258</v>
      </c>
      <c r="G162" s="689">
        <f t="shared" si="12"/>
        <v>128.09216000000001</v>
      </c>
      <c r="H162" s="606"/>
      <c r="I162" s="606"/>
      <c r="J162" s="606"/>
      <c r="K162" s="697" t="s">
        <v>224</v>
      </c>
      <c r="L162" s="606"/>
      <c r="M162" s="606"/>
      <c r="N162" s="606"/>
      <c r="O162" s="606"/>
      <c r="P162" s="698"/>
      <c r="Q162" s="698"/>
      <c r="R162" s="698"/>
      <c r="S162" s="698"/>
      <c r="T162" s="697"/>
    </row>
    <row r="163" spans="1:20" hidden="1">
      <c r="A163" s="777" t="s">
        <v>302</v>
      </c>
      <c r="B163" s="690" t="s">
        <v>681</v>
      </c>
      <c r="C163" s="687"/>
      <c r="D163" s="688">
        <f>'[2]总投资-发采购-0411-GLP拆分场外费用(司调)'!G35</f>
        <v>283.63263999999998</v>
      </c>
      <c r="E163" s="693">
        <f t="shared" si="9"/>
        <v>39.892073136427562</v>
      </c>
      <c r="F163" s="689">
        <f t="shared" si="11"/>
        <v>39.892073136427562</v>
      </c>
      <c r="G163" s="689">
        <f t="shared" si="12"/>
        <v>283.63263999999998</v>
      </c>
      <c r="H163" s="606"/>
      <c r="I163" s="606"/>
      <c r="J163" s="606"/>
      <c r="K163" s="697" t="s">
        <v>224</v>
      </c>
      <c r="L163" s="606"/>
      <c r="M163" s="606"/>
      <c r="N163" s="606"/>
      <c r="O163" s="606"/>
      <c r="P163" s="698"/>
      <c r="Q163" s="698"/>
      <c r="R163" s="698"/>
      <c r="S163" s="698"/>
      <c r="T163" s="697"/>
    </row>
    <row r="164" spans="1:20" hidden="1">
      <c r="A164" s="777" t="s">
        <v>303</v>
      </c>
      <c r="B164" s="690" t="s">
        <v>682</v>
      </c>
      <c r="C164" s="687"/>
      <c r="D164" s="688">
        <f>'[2]总投资-发采购-0411-GLP拆分场外费用(司调)'!G36</f>
        <v>78.158937277231303</v>
      </c>
      <c r="E164" s="693">
        <f t="shared" si="9"/>
        <v>10.992818182451659</v>
      </c>
      <c r="F164" s="689">
        <f t="shared" si="11"/>
        <v>10.992818182451659</v>
      </c>
      <c r="G164" s="689">
        <f t="shared" si="12"/>
        <v>78.158937277231303</v>
      </c>
      <c r="H164" s="606"/>
      <c r="I164" s="606"/>
      <c r="J164" s="606"/>
      <c r="K164" s="697" t="s">
        <v>224</v>
      </c>
      <c r="L164" s="606"/>
      <c r="M164" s="606"/>
      <c r="N164" s="606"/>
      <c r="O164" s="606"/>
      <c r="P164" s="698"/>
      <c r="Q164" s="698"/>
      <c r="R164" s="698"/>
      <c r="S164" s="698"/>
      <c r="T164" s="697"/>
    </row>
    <row r="165" spans="1:20" hidden="1">
      <c r="A165" s="777" t="s">
        <v>304</v>
      </c>
      <c r="B165" s="690" t="s">
        <v>683</v>
      </c>
      <c r="C165" s="687"/>
      <c r="D165" s="688">
        <f>'[2]总投资-发采购-0411-GLP拆分场外费用(司调)'!G37</f>
        <v>571.84</v>
      </c>
      <c r="E165" s="693">
        <f t="shared" si="9"/>
        <v>80.427566807313639</v>
      </c>
      <c r="F165" s="689">
        <f t="shared" si="11"/>
        <v>80.427566807313639</v>
      </c>
      <c r="G165" s="689">
        <f t="shared" si="12"/>
        <v>571.84</v>
      </c>
      <c r="H165" s="606"/>
      <c r="I165" s="606"/>
      <c r="J165" s="606"/>
      <c r="K165" s="697" t="s">
        <v>224</v>
      </c>
      <c r="L165" s="606"/>
      <c r="M165" s="606"/>
      <c r="N165" s="606"/>
      <c r="O165" s="606"/>
      <c r="P165" s="698"/>
      <c r="Q165" s="698"/>
      <c r="R165" s="698"/>
      <c r="S165" s="698"/>
      <c r="T165" s="697"/>
    </row>
    <row r="166" spans="1:20" hidden="1">
      <c r="A166" s="777"/>
      <c r="B166" s="779" t="s">
        <v>205</v>
      </c>
      <c r="C166" s="687"/>
      <c r="D166" s="688">
        <f>'[2]总投资-发采购-0411-GLP拆分场外费用(司调)'!G38</f>
        <v>1036.6793421714001</v>
      </c>
      <c r="E166" s="693">
        <f t="shared" si="9"/>
        <v>145.80581465139241</v>
      </c>
      <c r="F166" s="689">
        <f t="shared" si="11"/>
        <v>145.80581465139241</v>
      </c>
      <c r="G166" s="689">
        <f t="shared" si="12"/>
        <v>1036.6793421714001</v>
      </c>
      <c r="H166" s="606"/>
      <c r="I166" s="606"/>
      <c r="J166" s="606"/>
      <c r="K166" s="697" t="s">
        <v>224</v>
      </c>
      <c r="L166" s="606"/>
      <c r="M166" s="606"/>
      <c r="N166" s="606"/>
      <c r="O166" s="606"/>
      <c r="P166" s="698"/>
      <c r="Q166" s="698"/>
      <c r="R166" s="698"/>
      <c r="S166" s="698"/>
      <c r="T166" s="697"/>
    </row>
    <row r="167" spans="1:20" hidden="1">
      <c r="A167" s="777" t="s">
        <v>305</v>
      </c>
      <c r="B167" s="690" t="s">
        <v>685</v>
      </c>
      <c r="C167" s="687"/>
      <c r="D167" s="688">
        <f>'[2]总投资-发采购-0411-GLP拆分场外费用(司调)'!G39</f>
        <v>66</v>
      </c>
      <c r="E167" s="693">
        <f t="shared" si="9"/>
        <v>9.2827004219409286</v>
      </c>
      <c r="F167" s="689">
        <f t="shared" si="11"/>
        <v>9.2827004219409286</v>
      </c>
      <c r="G167" s="689">
        <f t="shared" si="12"/>
        <v>66</v>
      </c>
      <c r="H167" s="606"/>
      <c r="I167" s="606"/>
      <c r="J167" s="606"/>
      <c r="K167" s="697" t="s">
        <v>224</v>
      </c>
      <c r="L167" s="606"/>
      <c r="M167" s="606"/>
      <c r="N167" s="606"/>
      <c r="O167" s="606"/>
      <c r="P167" s="698"/>
      <c r="Q167" s="698"/>
      <c r="R167" s="698"/>
      <c r="S167" s="698"/>
      <c r="T167" s="697"/>
    </row>
    <row r="168" spans="1:20" hidden="1">
      <c r="A168" s="777"/>
      <c r="B168" s="690" t="s">
        <v>686</v>
      </c>
      <c r="C168" s="687"/>
      <c r="D168" s="688">
        <f>'[2]总投资-发采购-0411-GLP拆分场外费用(司调)'!G40</f>
        <v>2</v>
      </c>
      <c r="E168" s="693">
        <f t="shared" si="9"/>
        <v>0.28129395218002812</v>
      </c>
      <c r="F168" s="689">
        <f t="shared" si="11"/>
        <v>0.28129395218002812</v>
      </c>
      <c r="G168" s="689">
        <f t="shared" si="12"/>
        <v>2</v>
      </c>
      <c r="H168" s="606"/>
      <c r="I168" s="606"/>
      <c r="J168" s="606"/>
      <c r="K168" s="697" t="s">
        <v>224</v>
      </c>
      <c r="L168" s="606"/>
      <c r="M168" s="606"/>
      <c r="N168" s="606"/>
      <c r="O168" s="606"/>
      <c r="P168" s="698"/>
      <c r="Q168" s="698"/>
      <c r="R168" s="698"/>
      <c r="S168" s="698"/>
      <c r="T168" s="697"/>
    </row>
    <row r="169" spans="1:20" hidden="1">
      <c r="A169" s="777"/>
      <c r="B169" s="690" t="s">
        <v>687</v>
      </c>
      <c r="C169" s="687"/>
      <c r="D169" s="688">
        <f>'[2]总投资-发采购-0411-GLP拆分场外费用(司调)'!G41</f>
        <v>11</v>
      </c>
      <c r="E169" s="693">
        <f t="shared" si="9"/>
        <v>1.5471167369901546</v>
      </c>
      <c r="F169" s="689">
        <f t="shared" si="11"/>
        <v>1.5471167369901546</v>
      </c>
      <c r="G169" s="689">
        <f t="shared" si="12"/>
        <v>11</v>
      </c>
      <c r="H169" s="606"/>
      <c r="I169" s="606"/>
      <c r="J169" s="606"/>
      <c r="K169" s="697" t="s">
        <v>224</v>
      </c>
      <c r="L169" s="606"/>
      <c r="M169" s="606"/>
      <c r="N169" s="606"/>
      <c r="O169" s="606"/>
      <c r="P169" s="698"/>
      <c r="Q169" s="698"/>
      <c r="R169" s="698"/>
      <c r="S169" s="698"/>
      <c r="T169" s="697"/>
    </row>
    <row r="170" spans="1:20" hidden="1">
      <c r="A170" s="777"/>
      <c r="B170" s="690" t="s">
        <v>688</v>
      </c>
      <c r="C170" s="687"/>
      <c r="D170" s="688">
        <f>'[2]总投资-发采购-0411-GLP拆分场外费用(司调)'!G42</f>
        <v>53</v>
      </c>
      <c r="E170" s="693">
        <f t="shared" si="9"/>
        <v>7.4542897327707447</v>
      </c>
      <c r="F170" s="689">
        <f t="shared" si="11"/>
        <v>7.4542897327707447</v>
      </c>
      <c r="G170" s="689">
        <f t="shared" si="12"/>
        <v>53</v>
      </c>
      <c r="H170" s="606"/>
      <c r="I170" s="606"/>
      <c r="J170" s="606"/>
      <c r="K170" s="697" t="s">
        <v>224</v>
      </c>
      <c r="L170" s="606"/>
      <c r="M170" s="606"/>
      <c r="N170" s="606"/>
      <c r="O170" s="606"/>
      <c r="P170" s="698"/>
      <c r="Q170" s="698"/>
      <c r="R170" s="698"/>
      <c r="S170" s="698"/>
      <c r="T170" s="697"/>
    </row>
    <row r="171" spans="1:20" hidden="1">
      <c r="A171" s="777">
        <v>2.5</v>
      </c>
      <c r="B171" s="690" t="s">
        <v>725</v>
      </c>
      <c r="C171" s="687"/>
      <c r="D171" s="688">
        <f>'[2]总投资-发采购-0411-GLP拆分场外费用(司调)'!G43</f>
        <v>5952.1708779011697</v>
      </c>
      <c r="E171" s="693">
        <f t="shared" si="9"/>
        <v>837.15483514784376</v>
      </c>
      <c r="F171" s="689">
        <f t="shared" si="11"/>
        <v>837.15483514784376</v>
      </c>
      <c r="G171" s="689">
        <f t="shared" si="12"/>
        <v>5952.1708779011697</v>
      </c>
      <c r="H171" s="606"/>
      <c r="I171" s="606"/>
      <c r="J171" s="606"/>
      <c r="K171" s="697" t="s">
        <v>224</v>
      </c>
      <c r="L171" s="606"/>
      <c r="M171" s="606"/>
      <c r="N171" s="606"/>
      <c r="O171" s="606"/>
      <c r="P171" s="698"/>
      <c r="Q171" s="698"/>
      <c r="R171" s="698"/>
      <c r="S171" s="698"/>
      <c r="T171" s="697"/>
    </row>
    <row r="172" spans="1:20" hidden="1">
      <c r="A172" s="777" t="s">
        <v>307</v>
      </c>
      <c r="B172" s="690" t="s">
        <v>677</v>
      </c>
      <c r="C172" s="687"/>
      <c r="D172" s="688">
        <f>'[2]总投资-发采购-0411-GLP拆分场外费用(司调)'!G44</f>
        <v>3574</v>
      </c>
      <c r="E172" s="693">
        <f t="shared" si="9"/>
        <v>502.67229254571026</v>
      </c>
      <c r="F172" s="689">
        <f t="shared" si="11"/>
        <v>502.67229254571026</v>
      </c>
      <c r="G172" s="689">
        <f t="shared" si="12"/>
        <v>3574</v>
      </c>
      <c r="H172" s="606"/>
      <c r="I172" s="606"/>
      <c r="J172" s="606"/>
      <c r="K172" s="697" t="s">
        <v>224</v>
      </c>
      <c r="L172" s="606"/>
      <c r="M172" s="606"/>
      <c r="N172" s="606"/>
      <c r="O172" s="606"/>
      <c r="P172" s="698"/>
      <c r="Q172" s="698"/>
      <c r="R172" s="698"/>
      <c r="S172" s="698"/>
      <c r="T172" s="697"/>
    </row>
    <row r="173" spans="1:20" hidden="1">
      <c r="A173" s="777" t="s">
        <v>308</v>
      </c>
      <c r="B173" s="690" t="s">
        <v>678</v>
      </c>
      <c r="C173" s="687"/>
      <c r="D173" s="688">
        <f>'[2]总投资-发采购-0411-GLP拆分场外费用(司调)'!G45</f>
        <v>18.29888</v>
      </c>
      <c r="E173" s="693">
        <f t="shared" si="9"/>
        <v>2.5736821378340364</v>
      </c>
      <c r="F173" s="689">
        <f t="shared" si="11"/>
        <v>2.5736821378340364</v>
      </c>
      <c r="G173" s="689">
        <f t="shared" si="12"/>
        <v>18.29888</v>
      </c>
      <c r="H173" s="606"/>
      <c r="I173" s="606"/>
      <c r="J173" s="606"/>
      <c r="K173" s="697" t="s">
        <v>224</v>
      </c>
      <c r="L173" s="606"/>
      <c r="M173" s="606"/>
      <c r="N173" s="606"/>
      <c r="O173" s="606"/>
      <c r="P173" s="698"/>
      <c r="Q173" s="698"/>
      <c r="R173" s="698"/>
      <c r="S173" s="698"/>
      <c r="T173" s="697"/>
    </row>
    <row r="174" spans="1:20" hidden="1">
      <c r="A174" s="777" t="s">
        <v>309</v>
      </c>
      <c r="B174" s="690" t="s">
        <v>679</v>
      </c>
      <c r="C174" s="687"/>
      <c r="D174" s="688">
        <f>'[2]总投资-发采购-0411-GLP拆分场外费用(司调)'!G46</f>
        <v>164.68992</v>
      </c>
      <c r="E174" s="693">
        <f t="shared" si="9"/>
        <v>23.163139240506329</v>
      </c>
      <c r="F174" s="689">
        <f t="shared" si="11"/>
        <v>23.163139240506329</v>
      </c>
      <c r="G174" s="689">
        <f t="shared" si="12"/>
        <v>164.68992</v>
      </c>
      <c r="H174" s="606"/>
      <c r="I174" s="606"/>
      <c r="J174" s="606"/>
      <c r="K174" s="697" t="s">
        <v>224</v>
      </c>
      <c r="L174" s="606"/>
      <c r="M174" s="606"/>
      <c r="N174" s="606"/>
      <c r="O174" s="606"/>
      <c r="P174" s="698"/>
      <c r="Q174" s="698"/>
      <c r="R174" s="698"/>
      <c r="S174" s="698"/>
      <c r="T174" s="697"/>
    </row>
    <row r="175" spans="1:20" hidden="1">
      <c r="A175" s="777" t="s">
        <v>310</v>
      </c>
      <c r="B175" s="690" t="s">
        <v>680</v>
      </c>
      <c r="C175" s="687"/>
      <c r="D175" s="688">
        <f>'[2]总投资-发采购-0411-GLP拆分场外费用(司调)'!G47</f>
        <v>128.09216000000001</v>
      </c>
      <c r="E175" s="693">
        <f t="shared" si="9"/>
        <v>18.015774964838258</v>
      </c>
      <c r="F175" s="689">
        <f t="shared" si="11"/>
        <v>18.015774964838258</v>
      </c>
      <c r="G175" s="689">
        <f t="shared" si="12"/>
        <v>128.09216000000001</v>
      </c>
      <c r="H175" s="606"/>
      <c r="I175" s="606"/>
      <c r="J175" s="606"/>
      <c r="K175" s="697" t="s">
        <v>224</v>
      </c>
      <c r="L175" s="606"/>
      <c r="M175" s="606"/>
      <c r="N175" s="606"/>
      <c r="O175" s="606"/>
      <c r="P175" s="698"/>
      <c r="Q175" s="698"/>
      <c r="R175" s="698"/>
      <c r="S175" s="698"/>
      <c r="T175" s="697"/>
    </row>
    <row r="176" spans="1:20" hidden="1">
      <c r="A176" s="777" t="s">
        <v>311</v>
      </c>
      <c r="B176" s="690" t="s">
        <v>681</v>
      </c>
      <c r="C176" s="687"/>
      <c r="D176" s="688">
        <f>'[2]总投资-发采购-0411-GLP拆分场外费用(司调)'!G48</f>
        <v>283.63263999999998</v>
      </c>
      <c r="E176" s="693">
        <f t="shared" si="9"/>
        <v>39.892073136427562</v>
      </c>
      <c r="F176" s="689">
        <f t="shared" si="11"/>
        <v>39.892073136427562</v>
      </c>
      <c r="G176" s="689">
        <f t="shared" si="12"/>
        <v>283.63263999999998</v>
      </c>
      <c r="H176" s="606"/>
      <c r="I176" s="606"/>
      <c r="J176" s="606"/>
      <c r="K176" s="697" t="s">
        <v>224</v>
      </c>
      <c r="L176" s="606"/>
      <c r="M176" s="606"/>
      <c r="N176" s="606"/>
      <c r="O176" s="606"/>
      <c r="P176" s="698"/>
      <c r="Q176" s="698"/>
      <c r="R176" s="698"/>
      <c r="S176" s="698"/>
      <c r="T176" s="697"/>
    </row>
    <row r="177" spans="1:20" hidden="1">
      <c r="A177" s="777" t="s">
        <v>312</v>
      </c>
      <c r="B177" s="690" t="s">
        <v>682</v>
      </c>
      <c r="C177" s="687"/>
      <c r="D177" s="688">
        <f>'[2]总投资-发采购-0411-GLP拆分场外费用(司调)'!G49</f>
        <v>78.158937277231303</v>
      </c>
      <c r="E177" s="693">
        <f t="shared" si="9"/>
        <v>10.992818182451659</v>
      </c>
      <c r="F177" s="689">
        <f t="shared" si="11"/>
        <v>10.992818182451659</v>
      </c>
      <c r="G177" s="689">
        <f t="shared" si="12"/>
        <v>78.158937277231303</v>
      </c>
      <c r="H177" s="606"/>
      <c r="I177" s="606"/>
      <c r="J177" s="606"/>
      <c r="K177" s="697" t="s">
        <v>224</v>
      </c>
      <c r="L177" s="606"/>
      <c r="M177" s="606"/>
      <c r="N177" s="606"/>
      <c r="O177" s="606"/>
      <c r="P177" s="698"/>
      <c r="Q177" s="698"/>
      <c r="R177" s="698"/>
      <c r="S177" s="698"/>
      <c r="T177" s="697"/>
    </row>
    <row r="178" spans="1:20" hidden="1">
      <c r="A178" s="777" t="s">
        <v>313</v>
      </c>
      <c r="B178" s="690" t="s">
        <v>683</v>
      </c>
      <c r="C178" s="687"/>
      <c r="D178" s="688">
        <f>'[2]总投资-发采购-0411-GLP拆分场外费用(司调)'!G50</f>
        <v>571.84</v>
      </c>
      <c r="E178" s="693">
        <f t="shared" si="9"/>
        <v>80.427566807313639</v>
      </c>
      <c r="F178" s="689">
        <f t="shared" si="11"/>
        <v>80.427566807313639</v>
      </c>
      <c r="G178" s="689">
        <f t="shared" si="12"/>
        <v>571.84</v>
      </c>
      <c r="H178" s="606"/>
      <c r="I178" s="606"/>
      <c r="J178" s="606"/>
      <c r="K178" s="697" t="s">
        <v>224</v>
      </c>
      <c r="L178" s="606"/>
      <c r="M178" s="606"/>
      <c r="N178" s="606"/>
      <c r="O178" s="606"/>
      <c r="P178" s="698"/>
      <c r="Q178" s="698"/>
      <c r="R178" s="698"/>
      <c r="S178" s="698"/>
      <c r="T178" s="697"/>
    </row>
    <row r="179" spans="1:20" hidden="1">
      <c r="A179" s="777"/>
      <c r="B179" s="779" t="s">
        <v>205</v>
      </c>
      <c r="C179" s="687"/>
      <c r="D179" s="688">
        <f>'[2]总投资-发采购-0411-GLP拆分场外费用(司调)'!G51</f>
        <v>1068.4583406239401</v>
      </c>
      <c r="E179" s="693">
        <f t="shared" si="9"/>
        <v>150.27543468691141</v>
      </c>
      <c r="F179" s="689">
        <f t="shared" si="11"/>
        <v>150.27543468691141</v>
      </c>
      <c r="G179" s="689">
        <f t="shared" si="12"/>
        <v>1068.4583406239401</v>
      </c>
      <c r="H179" s="606"/>
      <c r="I179" s="606"/>
      <c r="J179" s="606"/>
      <c r="K179" s="697" t="s">
        <v>224</v>
      </c>
      <c r="L179" s="606"/>
      <c r="M179" s="606"/>
      <c r="N179" s="606"/>
      <c r="O179" s="606"/>
      <c r="P179" s="698"/>
      <c r="Q179" s="698"/>
      <c r="R179" s="698"/>
      <c r="S179" s="698"/>
      <c r="T179" s="697"/>
    </row>
    <row r="180" spans="1:20" hidden="1">
      <c r="A180" s="777" t="s">
        <v>314</v>
      </c>
      <c r="B180" s="690" t="s">
        <v>685</v>
      </c>
      <c r="C180" s="687"/>
      <c r="D180" s="688">
        <f>'[2]总投资-发采购-0411-GLP拆分场外费用(司调)'!G52</f>
        <v>65</v>
      </c>
      <c r="E180" s="693">
        <f t="shared" si="9"/>
        <v>9.1420534458509142</v>
      </c>
      <c r="F180" s="689">
        <f t="shared" si="11"/>
        <v>9.1420534458509142</v>
      </c>
      <c r="G180" s="689">
        <f t="shared" si="12"/>
        <v>65</v>
      </c>
      <c r="H180" s="606"/>
      <c r="I180" s="606"/>
      <c r="J180" s="606"/>
      <c r="K180" s="697" t="s">
        <v>224</v>
      </c>
      <c r="L180" s="606"/>
      <c r="M180" s="606"/>
      <c r="N180" s="606"/>
      <c r="O180" s="606"/>
      <c r="P180" s="698"/>
      <c r="Q180" s="698"/>
      <c r="R180" s="698"/>
      <c r="S180" s="698"/>
      <c r="T180" s="697"/>
    </row>
    <row r="181" spans="1:20" hidden="1">
      <c r="A181" s="777"/>
      <c r="B181" s="690" t="s">
        <v>686</v>
      </c>
      <c r="C181" s="687"/>
      <c r="D181" s="688">
        <f>'[2]总投资-发采购-0411-GLP拆分场外费用(司调)'!G53</f>
        <v>1</v>
      </c>
      <c r="E181" s="693">
        <f t="shared" si="9"/>
        <v>0.14064697609001406</v>
      </c>
      <c r="F181" s="689">
        <f t="shared" si="11"/>
        <v>0.14064697609001406</v>
      </c>
      <c r="G181" s="689">
        <f t="shared" si="12"/>
        <v>1</v>
      </c>
      <c r="H181" s="606"/>
      <c r="I181" s="606"/>
      <c r="J181" s="606"/>
      <c r="K181" s="697" t="s">
        <v>224</v>
      </c>
      <c r="L181" s="606"/>
      <c r="M181" s="606"/>
      <c r="N181" s="606"/>
      <c r="O181" s="606"/>
      <c r="P181" s="698"/>
      <c r="Q181" s="698"/>
      <c r="R181" s="698"/>
      <c r="S181" s="698"/>
      <c r="T181" s="697"/>
    </row>
    <row r="182" spans="1:20" hidden="1">
      <c r="A182" s="777"/>
      <c r="B182" s="690" t="s">
        <v>687</v>
      </c>
      <c r="C182" s="687"/>
      <c r="D182" s="688">
        <f>'[2]总投资-发采购-0411-GLP拆分场外费用(司调)'!G54</f>
        <v>11</v>
      </c>
      <c r="E182" s="693">
        <f t="shared" si="9"/>
        <v>1.5471167369901546</v>
      </c>
      <c r="F182" s="689">
        <f t="shared" si="11"/>
        <v>1.5471167369901546</v>
      </c>
      <c r="G182" s="689">
        <f t="shared" si="12"/>
        <v>11</v>
      </c>
      <c r="H182" s="606"/>
      <c r="I182" s="606"/>
      <c r="J182" s="606"/>
      <c r="K182" s="697" t="s">
        <v>224</v>
      </c>
      <c r="L182" s="606"/>
      <c r="M182" s="606"/>
      <c r="N182" s="606"/>
      <c r="O182" s="606"/>
      <c r="P182" s="698"/>
      <c r="Q182" s="698"/>
      <c r="R182" s="698"/>
      <c r="S182" s="698"/>
      <c r="T182" s="697"/>
    </row>
    <row r="183" spans="1:20" hidden="1">
      <c r="A183" s="777"/>
      <c r="B183" s="690" t="s">
        <v>688</v>
      </c>
      <c r="C183" s="687"/>
      <c r="D183" s="688">
        <f>'[2]总投资-发采购-0411-GLP拆分场外费用(司调)'!G55</f>
        <v>53</v>
      </c>
      <c r="E183" s="693">
        <f t="shared" ref="E183:E210" si="13">D183/$A$3</f>
        <v>7.4542897327707447</v>
      </c>
      <c r="F183" s="689">
        <f t="shared" si="11"/>
        <v>7.4542897327707447</v>
      </c>
      <c r="G183" s="689">
        <f t="shared" si="12"/>
        <v>53</v>
      </c>
      <c r="H183" s="606"/>
      <c r="I183" s="606"/>
      <c r="J183" s="606"/>
      <c r="K183" s="697" t="s">
        <v>224</v>
      </c>
      <c r="L183" s="606"/>
      <c r="M183" s="606"/>
      <c r="N183" s="606"/>
      <c r="O183" s="606"/>
      <c r="P183" s="698"/>
      <c r="Q183" s="698"/>
      <c r="R183" s="698"/>
      <c r="S183" s="698"/>
      <c r="T183" s="697"/>
    </row>
    <row r="184" spans="1:20" hidden="1">
      <c r="A184" s="777">
        <v>2.6</v>
      </c>
      <c r="B184" s="690" t="s">
        <v>726</v>
      </c>
      <c r="C184" s="687"/>
      <c r="D184" s="688">
        <f>'[2]总投资-发采购-0411-GLP拆分场外费用(司调)'!G56</f>
        <v>5747.9617310399199</v>
      </c>
      <c r="E184" s="693">
        <f t="shared" si="13"/>
        <v>808.43343615188746</v>
      </c>
      <c r="F184" s="689">
        <f t="shared" si="11"/>
        <v>808.43343615188746</v>
      </c>
      <c r="G184" s="689">
        <f t="shared" si="12"/>
        <v>5747.9617310399199</v>
      </c>
      <c r="H184" s="606"/>
      <c r="I184" s="606"/>
      <c r="J184" s="606"/>
      <c r="K184" s="697" t="s">
        <v>224</v>
      </c>
      <c r="L184" s="606"/>
      <c r="M184" s="606"/>
      <c r="N184" s="606"/>
      <c r="O184" s="606"/>
      <c r="P184" s="698"/>
      <c r="Q184" s="698"/>
      <c r="R184" s="698"/>
      <c r="S184" s="698"/>
      <c r="T184" s="697"/>
    </row>
    <row r="185" spans="1:20" hidden="1">
      <c r="A185" s="777" t="s">
        <v>316</v>
      </c>
      <c r="B185" s="690" t="s">
        <v>677</v>
      </c>
      <c r="C185" s="687"/>
      <c r="D185" s="688">
        <f>'[2]总投资-发采购-0411-GLP拆分场外费用(司调)'!G57</f>
        <v>3574</v>
      </c>
      <c r="E185" s="693">
        <f t="shared" si="13"/>
        <v>502.67229254571026</v>
      </c>
      <c r="F185" s="689">
        <f t="shared" si="11"/>
        <v>502.67229254571026</v>
      </c>
      <c r="G185" s="689">
        <f t="shared" si="12"/>
        <v>3574</v>
      </c>
      <c r="H185" s="606"/>
      <c r="I185" s="606"/>
      <c r="J185" s="606"/>
      <c r="K185" s="697" t="s">
        <v>224</v>
      </c>
      <c r="L185" s="606"/>
      <c r="M185" s="606"/>
      <c r="N185" s="606"/>
      <c r="O185" s="606"/>
      <c r="P185" s="698"/>
      <c r="Q185" s="698"/>
      <c r="R185" s="698"/>
      <c r="S185" s="698"/>
      <c r="T185" s="697"/>
    </row>
    <row r="186" spans="1:20" hidden="1">
      <c r="A186" s="777" t="s">
        <v>317</v>
      </c>
      <c r="B186" s="690" t="s">
        <v>678</v>
      </c>
      <c r="C186" s="687"/>
      <c r="D186" s="688">
        <f>'[2]总投资-发采购-0411-GLP拆分场外费用(司调)'!G58</f>
        <v>18.29888</v>
      </c>
      <c r="E186" s="693">
        <f t="shared" si="13"/>
        <v>2.5736821378340364</v>
      </c>
      <c r="F186" s="689">
        <f t="shared" si="11"/>
        <v>2.5736821378340364</v>
      </c>
      <c r="G186" s="689">
        <f t="shared" si="12"/>
        <v>18.29888</v>
      </c>
      <c r="H186" s="606"/>
      <c r="I186" s="606"/>
      <c r="J186" s="606"/>
      <c r="K186" s="697" t="s">
        <v>224</v>
      </c>
      <c r="L186" s="606"/>
      <c r="M186" s="606"/>
      <c r="N186" s="606"/>
      <c r="O186" s="606"/>
      <c r="P186" s="698"/>
      <c r="Q186" s="698"/>
      <c r="R186" s="698"/>
      <c r="S186" s="698"/>
      <c r="T186" s="697"/>
    </row>
    <row r="187" spans="1:20" hidden="1">
      <c r="A187" s="777" t="s">
        <v>318</v>
      </c>
      <c r="B187" s="690" t="s">
        <v>679</v>
      </c>
      <c r="C187" s="687"/>
      <c r="D187" s="688">
        <f>'[2]总投资-发采购-0411-GLP拆分场外费用(司调)'!G59</f>
        <v>164.68992</v>
      </c>
      <c r="E187" s="693">
        <f t="shared" si="13"/>
        <v>23.163139240506329</v>
      </c>
      <c r="F187" s="689">
        <f t="shared" si="11"/>
        <v>23.163139240506329</v>
      </c>
      <c r="G187" s="689">
        <f t="shared" si="12"/>
        <v>164.68992</v>
      </c>
      <c r="H187" s="606"/>
      <c r="I187" s="606"/>
      <c r="J187" s="606"/>
      <c r="K187" s="697" t="s">
        <v>224</v>
      </c>
      <c r="L187" s="606"/>
      <c r="M187" s="606"/>
      <c r="N187" s="606"/>
      <c r="O187" s="606"/>
      <c r="P187" s="698"/>
      <c r="Q187" s="698"/>
      <c r="R187" s="698"/>
      <c r="S187" s="698"/>
      <c r="T187" s="697"/>
    </row>
    <row r="188" spans="1:20" hidden="1">
      <c r="A188" s="777" t="s">
        <v>319</v>
      </c>
      <c r="B188" s="690" t="s">
        <v>680</v>
      </c>
      <c r="C188" s="687"/>
      <c r="D188" s="688">
        <f>'[2]总投资-发采购-0411-GLP拆分场外费用(司调)'!G60</f>
        <v>128.09216000000001</v>
      </c>
      <c r="E188" s="693">
        <f t="shared" si="13"/>
        <v>18.015774964838258</v>
      </c>
      <c r="F188" s="689">
        <f t="shared" si="11"/>
        <v>18.015774964838258</v>
      </c>
      <c r="G188" s="689">
        <f t="shared" si="12"/>
        <v>128.09216000000001</v>
      </c>
      <c r="H188" s="606"/>
      <c r="I188" s="606"/>
      <c r="J188" s="606"/>
      <c r="K188" s="697" t="s">
        <v>224</v>
      </c>
      <c r="L188" s="606"/>
      <c r="M188" s="606"/>
      <c r="N188" s="606"/>
      <c r="O188" s="606"/>
      <c r="P188" s="698"/>
      <c r="Q188" s="698"/>
      <c r="R188" s="698"/>
      <c r="S188" s="698"/>
      <c r="T188" s="697"/>
    </row>
    <row r="189" spans="1:20" hidden="1">
      <c r="A189" s="777" t="s">
        <v>320</v>
      </c>
      <c r="B189" s="690" t="s">
        <v>681</v>
      </c>
      <c r="C189" s="687"/>
      <c r="D189" s="688">
        <f>'[2]总投资-发采购-0411-GLP拆分场外费用(司调)'!G61</f>
        <v>283.63263999999998</v>
      </c>
      <c r="E189" s="693">
        <f t="shared" si="13"/>
        <v>39.892073136427562</v>
      </c>
      <c r="F189" s="689">
        <f t="shared" si="11"/>
        <v>39.892073136427562</v>
      </c>
      <c r="G189" s="689">
        <f t="shared" si="12"/>
        <v>283.63263999999998</v>
      </c>
      <c r="H189" s="606"/>
      <c r="I189" s="606"/>
      <c r="J189" s="606"/>
      <c r="K189" s="697" t="s">
        <v>224</v>
      </c>
      <c r="L189" s="606"/>
      <c r="M189" s="606"/>
      <c r="N189" s="606"/>
      <c r="O189" s="606"/>
      <c r="P189" s="698"/>
      <c r="Q189" s="698"/>
      <c r="R189" s="698"/>
      <c r="S189" s="698"/>
      <c r="T189" s="697"/>
    </row>
    <row r="190" spans="1:20" hidden="1">
      <c r="A190" s="777" t="s">
        <v>321</v>
      </c>
      <c r="B190" s="690" t="s">
        <v>682</v>
      </c>
      <c r="C190" s="687"/>
      <c r="D190" s="688">
        <f>'[2]总投资-发采购-0411-GLP拆分场外费用(司调)'!G62</f>
        <v>78.158937277231303</v>
      </c>
      <c r="E190" s="693">
        <f t="shared" si="13"/>
        <v>10.992818182451659</v>
      </c>
      <c r="F190" s="689">
        <f t="shared" si="11"/>
        <v>10.992818182451659</v>
      </c>
      <c r="G190" s="689">
        <f t="shared" si="12"/>
        <v>78.158937277231303</v>
      </c>
      <c r="H190" s="606"/>
      <c r="I190" s="606"/>
      <c r="J190" s="606"/>
      <c r="K190" s="697" t="s">
        <v>224</v>
      </c>
      <c r="L190" s="606"/>
      <c r="M190" s="606"/>
      <c r="N190" s="606"/>
      <c r="O190" s="606"/>
      <c r="P190" s="698"/>
      <c r="Q190" s="698"/>
      <c r="R190" s="698"/>
      <c r="S190" s="698"/>
      <c r="T190" s="697"/>
    </row>
    <row r="191" spans="1:20" hidden="1">
      <c r="A191" s="777" t="s">
        <v>322</v>
      </c>
      <c r="B191" s="690" t="s">
        <v>683</v>
      </c>
      <c r="C191" s="687"/>
      <c r="D191" s="688">
        <f>'[2]总投资-发采购-0411-GLP拆分场外费用(司调)'!G63</f>
        <v>571.84</v>
      </c>
      <c r="E191" s="693">
        <f t="shared" si="13"/>
        <v>80.427566807313639</v>
      </c>
      <c r="F191" s="689">
        <f t="shared" si="11"/>
        <v>80.427566807313639</v>
      </c>
      <c r="G191" s="689">
        <f t="shared" si="12"/>
        <v>571.84</v>
      </c>
      <c r="H191" s="606"/>
      <c r="I191" s="606"/>
      <c r="J191" s="606"/>
      <c r="K191" s="697" t="s">
        <v>224</v>
      </c>
      <c r="L191" s="606"/>
      <c r="M191" s="606"/>
      <c r="N191" s="606"/>
      <c r="O191" s="606"/>
      <c r="P191" s="698"/>
      <c r="Q191" s="698"/>
      <c r="R191" s="698"/>
      <c r="S191" s="698"/>
      <c r="T191" s="697"/>
    </row>
    <row r="192" spans="1:20" hidden="1">
      <c r="A192" s="777"/>
      <c r="B192" s="779" t="s">
        <v>205</v>
      </c>
      <c r="C192" s="687"/>
      <c r="D192" s="688">
        <f>'[2]总投资-发采购-0411-GLP拆分场外费用(司调)'!G64</f>
        <v>864.24919376268497</v>
      </c>
      <c r="E192" s="693">
        <f t="shared" si="13"/>
        <v>121.55403569095428</v>
      </c>
      <c r="F192" s="689">
        <f t="shared" si="11"/>
        <v>121.55403569095428</v>
      </c>
      <c r="G192" s="689">
        <f t="shared" si="12"/>
        <v>864.24919376268497</v>
      </c>
      <c r="H192" s="606"/>
      <c r="I192" s="606"/>
      <c r="J192" s="606"/>
      <c r="K192" s="697" t="s">
        <v>224</v>
      </c>
      <c r="L192" s="606"/>
      <c r="M192" s="606"/>
      <c r="N192" s="606"/>
      <c r="O192" s="606"/>
      <c r="P192" s="698"/>
      <c r="Q192" s="698"/>
      <c r="R192" s="698"/>
      <c r="S192" s="698"/>
      <c r="T192" s="697"/>
    </row>
    <row r="193" spans="1:20" hidden="1">
      <c r="A193" s="777" t="s">
        <v>323</v>
      </c>
      <c r="B193" s="690" t="s">
        <v>685</v>
      </c>
      <c r="C193" s="687"/>
      <c r="D193" s="688">
        <f>'[2]总投资-发采购-0411-GLP拆分场外费用(司调)'!G65</f>
        <v>65</v>
      </c>
      <c r="E193" s="693">
        <f t="shared" si="13"/>
        <v>9.1420534458509142</v>
      </c>
      <c r="F193" s="689">
        <f t="shared" si="11"/>
        <v>9.1420534458509142</v>
      </c>
      <c r="G193" s="689">
        <f t="shared" si="12"/>
        <v>65</v>
      </c>
      <c r="H193" s="606"/>
      <c r="I193" s="606"/>
      <c r="J193" s="606"/>
      <c r="K193" s="697" t="s">
        <v>224</v>
      </c>
      <c r="L193" s="606"/>
      <c r="M193" s="606"/>
      <c r="N193" s="606"/>
      <c r="O193" s="606"/>
      <c r="P193" s="698"/>
      <c r="Q193" s="698"/>
      <c r="R193" s="698"/>
      <c r="S193" s="698"/>
      <c r="T193" s="697"/>
    </row>
    <row r="194" spans="1:20" hidden="1">
      <c r="A194" s="777"/>
      <c r="B194" s="690" t="s">
        <v>686</v>
      </c>
      <c r="C194" s="687"/>
      <c r="D194" s="688">
        <f>'[2]总投资-发采购-0411-GLP拆分场外费用(司调)'!G66</f>
        <v>1</v>
      </c>
      <c r="E194" s="693">
        <f t="shared" si="13"/>
        <v>0.14064697609001406</v>
      </c>
      <c r="F194" s="689">
        <f t="shared" si="11"/>
        <v>0.14064697609001406</v>
      </c>
      <c r="G194" s="689">
        <f t="shared" si="12"/>
        <v>1</v>
      </c>
      <c r="H194" s="606"/>
      <c r="I194" s="606"/>
      <c r="J194" s="606"/>
      <c r="K194" s="697" t="s">
        <v>224</v>
      </c>
      <c r="L194" s="606"/>
      <c r="M194" s="606"/>
      <c r="N194" s="606"/>
      <c r="O194" s="606"/>
      <c r="P194" s="698"/>
      <c r="Q194" s="698"/>
      <c r="R194" s="698"/>
      <c r="S194" s="698"/>
      <c r="T194" s="697"/>
    </row>
    <row r="195" spans="1:20" hidden="1">
      <c r="A195" s="777"/>
      <c r="B195" s="690" t="s">
        <v>687</v>
      </c>
      <c r="C195" s="687"/>
      <c r="D195" s="688">
        <f>'[2]总投资-发采购-0411-GLP拆分场外费用(司调)'!G67</f>
        <v>11</v>
      </c>
      <c r="E195" s="693">
        <f t="shared" si="13"/>
        <v>1.5471167369901546</v>
      </c>
      <c r="F195" s="689">
        <f t="shared" si="11"/>
        <v>1.5471167369901546</v>
      </c>
      <c r="G195" s="689">
        <f t="shared" si="12"/>
        <v>11</v>
      </c>
      <c r="H195" s="606"/>
      <c r="I195" s="606"/>
      <c r="J195" s="606"/>
      <c r="K195" s="697" t="s">
        <v>224</v>
      </c>
      <c r="L195" s="606"/>
      <c r="M195" s="606"/>
      <c r="N195" s="606"/>
      <c r="O195" s="606"/>
      <c r="P195" s="698"/>
      <c r="Q195" s="698"/>
      <c r="R195" s="698"/>
      <c r="S195" s="698"/>
      <c r="T195" s="697"/>
    </row>
    <row r="196" spans="1:20" hidden="1">
      <c r="A196" s="777"/>
      <c r="B196" s="690" t="s">
        <v>688</v>
      </c>
      <c r="C196" s="687"/>
      <c r="D196" s="688">
        <f>'[2]总投资-发采购-0411-GLP拆分场外费用(司调)'!G68</f>
        <v>53</v>
      </c>
      <c r="E196" s="693">
        <f t="shared" si="13"/>
        <v>7.4542897327707447</v>
      </c>
      <c r="F196" s="689">
        <f t="shared" si="11"/>
        <v>7.4542897327707447</v>
      </c>
      <c r="G196" s="689">
        <f t="shared" si="12"/>
        <v>53</v>
      </c>
      <c r="H196" s="606"/>
      <c r="I196" s="606"/>
      <c r="J196" s="606"/>
      <c r="K196" s="697" t="s">
        <v>224</v>
      </c>
      <c r="L196" s="606"/>
      <c r="M196" s="606"/>
      <c r="N196" s="606"/>
      <c r="O196" s="606"/>
      <c r="P196" s="698"/>
      <c r="Q196" s="698"/>
      <c r="R196" s="698"/>
      <c r="S196" s="698"/>
      <c r="T196" s="697"/>
    </row>
    <row r="197" spans="1:20" hidden="1">
      <c r="A197" s="777">
        <v>2.7</v>
      </c>
      <c r="B197" s="690" t="s">
        <v>727</v>
      </c>
      <c r="C197" s="687"/>
      <c r="D197" s="688">
        <f>'[2]总投资-发采购-0411-GLP拆分场外费用(司调)'!G69</f>
        <v>5776.8425281711698</v>
      </c>
      <c r="E197" s="693">
        <f t="shared" si="13"/>
        <v>812.49543293546685</v>
      </c>
      <c r="F197" s="689">
        <f t="shared" si="11"/>
        <v>812.49543293546685</v>
      </c>
      <c r="G197" s="689">
        <f t="shared" si="12"/>
        <v>5776.8425281711698</v>
      </c>
      <c r="H197" s="606"/>
      <c r="I197" s="606"/>
      <c r="J197" s="606"/>
      <c r="K197" s="697" t="s">
        <v>224</v>
      </c>
      <c r="L197" s="606"/>
      <c r="M197" s="606"/>
      <c r="N197" s="606"/>
      <c r="O197" s="606"/>
      <c r="P197" s="698"/>
      <c r="Q197" s="698"/>
      <c r="R197" s="698"/>
      <c r="S197" s="698"/>
      <c r="T197" s="697"/>
    </row>
    <row r="198" spans="1:20" hidden="1">
      <c r="A198" s="777" t="s">
        <v>325</v>
      </c>
      <c r="B198" s="690" t="s">
        <v>677</v>
      </c>
      <c r="C198" s="687"/>
      <c r="D198" s="688">
        <f>'[2]总投资-发采购-0411-GLP拆分场外费用(司调)'!G70</f>
        <v>3574</v>
      </c>
      <c r="E198" s="693">
        <f t="shared" si="13"/>
        <v>502.67229254571026</v>
      </c>
      <c r="F198" s="689">
        <f t="shared" si="11"/>
        <v>502.67229254571026</v>
      </c>
      <c r="G198" s="689">
        <f t="shared" si="12"/>
        <v>3574</v>
      </c>
      <c r="H198" s="606"/>
      <c r="I198" s="606"/>
      <c r="J198" s="606"/>
      <c r="K198" s="697" t="s">
        <v>224</v>
      </c>
      <c r="L198" s="606"/>
      <c r="M198" s="606"/>
      <c r="N198" s="606"/>
      <c r="O198" s="606"/>
      <c r="P198" s="698"/>
      <c r="Q198" s="698"/>
      <c r="R198" s="698"/>
      <c r="S198" s="698"/>
      <c r="T198" s="697"/>
    </row>
    <row r="199" spans="1:20" hidden="1">
      <c r="A199" s="777" t="s">
        <v>326</v>
      </c>
      <c r="B199" s="690" t="s">
        <v>678</v>
      </c>
      <c r="C199" s="687"/>
      <c r="D199" s="688">
        <f>'[2]总投资-发采购-0411-GLP拆分场外费用(司调)'!G71</f>
        <v>18.29888</v>
      </c>
      <c r="E199" s="693">
        <f t="shared" si="13"/>
        <v>2.5736821378340364</v>
      </c>
      <c r="F199" s="689">
        <f t="shared" si="11"/>
        <v>2.5736821378340364</v>
      </c>
      <c r="G199" s="689">
        <f t="shared" si="12"/>
        <v>18.29888</v>
      </c>
      <c r="H199" s="606"/>
      <c r="I199" s="606"/>
      <c r="J199" s="606"/>
      <c r="K199" s="697" t="s">
        <v>224</v>
      </c>
      <c r="L199" s="606"/>
      <c r="M199" s="606"/>
      <c r="N199" s="606"/>
      <c r="O199" s="606"/>
      <c r="P199" s="698"/>
      <c r="Q199" s="698"/>
      <c r="R199" s="698"/>
      <c r="S199" s="698"/>
      <c r="T199" s="697"/>
    </row>
    <row r="200" spans="1:20" hidden="1">
      <c r="A200" s="777" t="s">
        <v>327</v>
      </c>
      <c r="B200" s="690" t="s">
        <v>679</v>
      </c>
      <c r="C200" s="687"/>
      <c r="D200" s="688">
        <f>'[2]总投资-发采购-0411-GLP拆分场外费用(司调)'!G72</f>
        <v>164.68992</v>
      </c>
      <c r="E200" s="693">
        <f t="shared" si="13"/>
        <v>23.163139240506329</v>
      </c>
      <c r="F200" s="689">
        <f t="shared" si="11"/>
        <v>23.163139240506329</v>
      </c>
      <c r="G200" s="689">
        <f t="shared" si="12"/>
        <v>164.68992</v>
      </c>
      <c r="H200" s="606"/>
      <c r="I200" s="606"/>
      <c r="J200" s="606"/>
      <c r="K200" s="697" t="s">
        <v>224</v>
      </c>
      <c r="L200" s="606"/>
      <c r="M200" s="606"/>
      <c r="N200" s="606"/>
      <c r="O200" s="606"/>
      <c r="P200" s="698"/>
      <c r="Q200" s="698"/>
      <c r="R200" s="698"/>
      <c r="S200" s="698"/>
      <c r="T200" s="697"/>
    </row>
    <row r="201" spans="1:20" hidden="1">
      <c r="A201" s="777" t="s">
        <v>328</v>
      </c>
      <c r="B201" s="690" t="s">
        <v>680</v>
      </c>
      <c r="C201" s="687"/>
      <c r="D201" s="688">
        <f>'[2]总投资-发采购-0411-GLP拆分场外费用(司调)'!G73</f>
        <v>128.09216000000001</v>
      </c>
      <c r="E201" s="693">
        <f t="shared" si="13"/>
        <v>18.015774964838258</v>
      </c>
      <c r="F201" s="689">
        <f t="shared" si="11"/>
        <v>18.015774964838258</v>
      </c>
      <c r="G201" s="689">
        <f t="shared" si="12"/>
        <v>128.09216000000001</v>
      </c>
      <c r="H201" s="606"/>
      <c r="I201" s="606"/>
      <c r="J201" s="606"/>
      <c r="K201" s="697" t="s">
        <v>224</v>
      </c>
      <c r="L201" s="606"/>
      <c r="M201" s="606"/>
      <c r="N201" s="606"/>
      <c r="O201" s="606"/>
      <c r="P201" s="698"/>
      <c r="Q201" s="698"/>
      <c r="R201" s="698"/>
      <c r="S201" s="698"/>
      <c r="T201" s="697"/>
    </row>
    <row r="202" spans="1:20" hidden="1">
      <c r="A202" s="777" t="s">
        <v>329</v>
      </c>
      <c r="B202" s="690" t="s">
        <v>681</v>
      </c>
      <c r="C202" s="687"/>
      <c r="D202" s="688">
        <f>'[2]总投资-发采购-0411-GLP拆分场外费用(司调)'!G74</f>
        <v>283.63263999999998</v>
      </c>
      <c r="E202" s="693">
        <f t="shared" si="13"/>
        <v>39.892073136427562</v>
      </c>
      <c r="F202" s="689">
        <f t="shared" si="11"/>
        <v>39.892073136427562</v>
      </c>
      <c r="G202" s="689">
        <f t="shared" si="12"/>
        <v>283.63263999999998</v>
      </c>
      <c r="H202" s="606"/>
      <c r="I202" s="606"/>
      <c r="J202" s="606"/>
      <c r="K202" s="697" t="s">
        <v>224</v>
      </c>
      <c r="L202" s="606"/>
      <c r="M202" s="606"/>
      <c r="N202" s="606"/>
      <c r="O202" s="606"/>
      <c r="P202" s="698"/>
      <c r="Q202" s="698"/>
      <c r="R202" s="698"/>
      <c r="S202" s="698"/>
      <c r="T202" s="697"/>
    </row>
    <row r="203" spans="1:20" hidden="1">
      <c r="A203" s="777" t="s">
        <v>330</v>
      </c>
      <c r="B203" s="690" t="s">
        <v>682</v>
      </c>
      <c r="C203" s="687"/>
      <c r="D203" s="688">
        <f>'[2]总投资-发采购-0411-GLP拆分场外费用(司调)'!G75</f>
        <v>78.158937277231303</v>
      </c>
      <c r="E203" s="693">
        <f t="shared" si="13"/>
        <v>10.992818182451659</v>
      </c>
      <c r="F203" s="689">
        <f t="shared" si="11"/>
        <v>10.992818182451659</v>
      </c>
      <c r="G203" s="689">
        <f t="shared" si="12"/>
        <v>78.158937277231303</v>
      </c>
      <c r="H203" s="606"/>
      <c r="I203" s="606"/>
      <c r="J203" s="606"/>
      <c r="K203" s="697" t="s">
        <v>224</v>
      </c>
      <c r="L203" s="606"/>
      <c r="M203" s="606"/>
      <c r="N203" s="606"/>
      <c r="O203" s="606"/>
      <c r="P203" s="698"/>
      <c r="Q203" s="698"/>
      <c r="R203" s="698"/>
      <c r="S203" s="698"/>
      <c r="T203" s="697"/>
    </row>
    <row r="204" spans="1:20" hidden="1">
      <c r="A204" s="777" t="s">
        <v>331</v>
      </c>
      <c r="B204" s="690" t="s">
        <v>683</v>
      </c>
      <c r="C204" s="687"/>
      <c r="D204" s="688">
        <f>'[2]总投资-发采购-0411-GLP拆分场外费用(司调)'!G76</f>
        <v>571.84</v>
      </c>
      <c r="E204" s="693">
        <f t="shared" si="13"/>
        <v>80.427566807313639</v>
      </c>
      <c r="F204" s="689">
        <f t="shared" si="11"/>
        <v>80.427566807313639</v>
      </c>
      <c r="G204" s="689">
        <f t="shared" si="12"/>
        <v>571.84</v>
      </c>
      <c r="H204" s="606"/>
      <c r="I204" s="606"/>
      <c r="J204" s="606"/>
      <c r="K204" s="697" t="s">
        <v>224</v>
      </c>
      <c r="L204" s="606"/>
      <c r="M204" s="606"/>
      <c r="N204" s="606"/>
      <c r="O204" s="606"/>
      <c r="P204" s="698"/>
      <c r="Q204" s="698"/>
      <c r="R204" s="698"/>
      <c r="S204" s="698"/>
      <c r="T204" s="697"/>
    </row>
    <row r="205" spans="1:20" hidden="1">
      <c r="A205" s="777"/>
      <c r="B205" s="779" t="s">
        <v>205</v>
      </c>
      <c r="C205" s="687"/>
      <c r="D205" s="688">
        <f>'[2]总投资-发采购-0411-GLP拆分场外费用(司调)'!G77</f>
        <v>893.12999089393804</v>
      </c>
      <c r="E205" s="693">
        <f t="shared" si="13"/>
        <v>125.61603247453418</v>
      </c>
      <c r="F205" s="689">
        <f t="shared" si="11"/>
        <v>125.61603247453418</v>
      </c>
      <c r="G205" s="689">
        <f t="shared" si="12"/>
        <v>893.12999089393804</v>
      </c>
      <c r="H205" s="606"/>
      <c r="I205" s="606"/>
      <c r="J205" s="606"/>
      <c r="K205" s="697" t="s">
        <v>224</v>
      </c>
      <c r="L205" s="606"/>
      <c r="M205" s="606"/>
      <c r="N205" s="606"/>
      <c r="O205" s="606"/>
      <c r="P205" s="698"/>
      <c r="Q205" s="698"/>
      <c r="R205" s="698"/>
      <c r="S205" s="698"/>
      <c r="T205" s="697"/>
    </row>
    <row r="206" spans="1:20" hidden="1">
      <c r="A206" s="777" t="s">
        <v>332</v>
      </c>
      <c r="B206" s="690" t="s">
        <v>685</v>
      </c>
      <c r="C206" s="687"/>
      <c r="D206" s="688">
        <f>'[2]总投资-发采购-0411-GLP拆分场外费用(司调)'!G78</f>
        <v>65</v>
      </c>
      <c r="E206" s="693">
        <f t="shared" si="13"/>
        <v>9.1420534458509142</v>
      </c>
      <c r="F206" s="689">
        <f t="shared" si="11"/>
        <v>9.1420534458509142</v>
      </c>
      <c r="G206" s="689">
        <f t="shared" si="12"/>
        <v>65</v>
      </c>
      <c r="H206" s="606"/>
      <c r="I206" s="606"/>
      <c r="J206" s="606"/>
      <c r="K206" s="697" t="s">
        <v>224</v>
      </c>
      <c r="L206" s="606"/>
      <c r="M206" s="606"/>
      <c r="N206" s="606"/>
      <c r="O206" s="606"/>
      <c r="P206" s="698"/>
      <c r="Q206" s="698"/>
      <c r="R206" s="698"/>
      <c r="S206" s="698"/>
      <c r="T206" s="697"/>
    </row>
    <row r="207" spans="1:20" hidden="1">
      <c r="A207" s="777"/>
      <c r="B207" s="690" t="s">
        <v>686</v>
      </c>
      <c r="C207" s="687"/>
      <c r="D207" s="688">
        <f>'[2]总投资-发采购-0411-GLP拆分场外费用(司调)'!G79</f>
        <v>1</v>
      </c>
      <c r="E207" s="693">
        <f t="shared" si="13"/>
        <v>0.14064697609001406</v>
      </c>
      <c r="F207" s="689">
        <f t="shared" si="11"/>
        <v>0.14064697609001406</v>
      </c>
      <c r="G207" s="689">
        <f t="shared" si="12"/>
        <v>1</v>
      </c>
      <c r="H207" s="606"/>
      <c r="I207" s="606"/>
      <c r="J207" s="606"/>
      <c r="K207" s="697" t="s">
        <v>224</v>
      </c>
      <c r="L207" s="606"/>
      <c r="M207" s="606"/>
      <c r="N207" s="606"/>
      <c r="O207" s="606"/>
      <c r="P207" s="698"/>
      <c r="Q207" s="698"/>
      <c r="R207" s="698"/>
      <c r="S207" s="698"/>
      <c r="T207" s="697"/>
    </row>
    <row r="208" spans="1:20" hidden="1">
      <c r="A208" s="777"/>
      <c r="B208" s="690" t="s">
        <v>687</v>
      </c>
      <c r="C208" s="687"/>
      <c r="D208" s="688">
        <f>'[2]总投资-发采购-0411-GLP拆分场外费用(司调)'!G80</f>
        <v>11</v>
      </c>
      <c r="E208" s="693">
        <f t="shared" si="13"/>
        <v>1.5471167369901546</v>
      </c>
      <c r="F208" s="689">
        <f t="shared" ref="F208:F211" si="14">E208</f>
        <v>1.5471167369901546</v>
      </c>
      <c r="G208" s="689">
        <f t="shared" si="12"/>
        <v>11</v>
      </c>
      <c r="H208" s="606"/>
      <c r="I208" s="606"/>
      <c r="J208" s="606"/>
      <c r="K208" s="697" t="s">
        <v>224</v>
      </c>
      <c r="L208" s="606"/>
      <c r="M208" s="606"/>
      <c r="N208" s="606"/>
      <c r="O208" s="606"/>
      <c r="P208" s="698"/>
      <c r="Q208" s="698"/>
      <c r="R208" s="698"/>
      <c r="S208" s="698"/>
      <c r="T208" s="697"/>
    </row>
    <row r="209" spans="1:20" hidden="1">
      <c r="A209" s="777"/>
      <c r="B209" s="690" t="s">
        <v>688</v>
      </c>
      <c r="C209" s="687"/>
      <c r="D209" s="688">
        <f>'[2]总投资-发采购-0411-GLP拆分场外费用(司调)'!G81</f>
        <v>53</v>
      </c>
      <c r="E209" s="693">
        <f t="shared" si="13"/>
        <v>7.4542897327707447</v>
      </c>
      <c r="F209" s="689">
        <f t="shared" si="14"/>
        <v>7.4542897327707447</v>
      </c>
      <c r="G209" s="689">
        <f t="shared" si="12"/>
        <v>53</v>
      </c>
      <c r="H209" s="606"/>
      <c r="I209" s="606"/>
      <c r="J209" s="606"/>
      <c r="K209" s="697" t="s">
        <v>224</v>
      </c>
      <c r="L209" s="606"/>
      <c r="M209" s="606"/>
      <c r="N209" s="606"/>
      <c r="O209" s="606"/>
      <c r="P209" s="698"/>
      <c r="Q209" s="698"/>
      <c r="R209" s="698"/>
      <c r="S209" s="698"/>
      <c r="T209" s="697"/>
    </row>
    <row r="210" spans="1:20" ht="18.75" customHeight="1">
      <c r="A210" s="606" t="s">
        <v>44</v>
      </c>
      <c r="B210" s="782" t="s">
        <v>333</v>
      </c>
      <c r="C210" s="709" t="s">
        <v>334</v>
      </c>
      <c r="D210" s="710">
        <f>SUM('[2]总投资-发采购-0411-GLP拆分场外费用(司调)'!G205,'[2]总投资-发采购-0411-GLP拆分场外费用(司调)'!G208,'[2]总投资-发采购-0411-GLP拆分场外费用(司调)'!G211,'[2]总投资-发采购-0411-GLP拆分场外费用(司调)'!G214,'[2]总投资-发采购-0411-GLP拆分场外费用(司调)'!G218)</f>
        <v>3292.1051520000001</v>
      </c>
      <c r="E210" s="711">
        <f t="shared" si="13"/>
        <v>463.02463459915612</v>
      </c>
      <c r="F210" s="712">
        <f t="shared" si="14"/>
        <v>463.02463459915612</v>
      </c>
      <c r="G210" s="712">
        <f t="shared" si="12"/>
        <v>3292.1051520000001</v>
      </c>
      <c r="H210" s="780" t="s">
        <v>335</v>
      </c>
      <c r="I210" s="606" t="s">
        <v>30</v>
      </c>
      <c r="J210" s="606">
        <v>12</v>
      </c>
      <c r="K210" s="697" t="s">
        <v>224</v>
      </c>
      <c r="L210" s="606"/>
      <c r="M210" s="780"/>
      <c r="N210" s="606"/>
      <c r="O210" s="606"/>
      <c r="P210" s="698" t="s">
        <v>337</v>
      </c>
      <c r="Q210" s="698" t="s">
        <v>338</v>
      </c>
      <c r="R210" s="698" t="s">
        <v>136</v>
      </c>
      <c r="S210" s="698" t="s">
        <v>339</v>
      </c>
      <c r="T210" s="697"/>
    </row>
    <row r="211" spans="1:20">
      <c r="A211" s="1075" t="s">
        <v>340</v>
      </c>
      <c r="B211" s="1076"/>
      <c r="C211" s="1077"/>
      <c r="D211" s="713">
        <f>SUM(D7,D30,D44,D74,D117,D157,D210)</f>
        <v>174384.82564401845</v>
      </c>
      <c r="E211" s="713">
        <f>SUM(E7)</f>
        <v>967.19455955304363</v>
      </c>
      <c r="F211" s="714">
        <f t="shared" si="14"/>
        <v>967.19455955304363</v>
      </c>
      <c r="G211" s="714">
        <f t="shared" si="12"/>
        <v>174384.82564401845</v>
      </c>
      <c r="H211" s="606"/>
      <c r="I211" s="606"/>
      <c r="J211" s="606"/>
      <c r="K211" s="606"/>
      <c r="L211" s="606"/>
      <c r="M211" s="606"/>
      <c r="N211" s="606"/>
      <c r="O211" s="606"/>
      <c r="P211" s="738"/>
      <c r="Q211" s="738"/>
      <c r="R211" s="738"/>
      <c r="S211" s="738"/>
      <c r="T211" s="606"/>
    </row>
    <row r="212" spans="1:20">
      <c r="A212" s="783" t="s">
        <v>341</v>
      </c>
      <c r="B212" s="1078" t="s">
        <v>342</v>
      </c>
      <c r="C212" s="1079"/>
      <c r="D212" s="1079"/>
      <c r="E212" s="1079"/>
      <c r="F212" s="1079"/>
      <c r="G212" s="1079"/>
      <c r="H212" s="1079"/>
      <c r="I212" s="1079"/>
      <c r="J212" s="1079"/>
      <c r="K212" s="1079"/>
      <c r="L212" s="1079"/>
      <c r="M212" s="1079"/>
      <c r="N212" s="1079"/>
      <c r="O212" s="1079"/>
      <c r="P212" s="1079"/>
      <c r="Q212" s="1079"/>
      <c r="R212" s="1079"/>
      <c r="S212" s="1079"/>
      <c r="T212" s="1080"/>
    </row>
    <row r="213" spans="1:20" ht="26.4">
      <c r="A213" s="715" t="s">
        <v>50</v>
      </c>
      <c r="B213" s="784" t="s">
        <v>342</v>
      </c>
      <c r="C213" s="716" t="s">
        <v>728</v>
      </c>
      <c r="D213" s="684">
        <f>SUM('[2]总投资-发采购-0411-GLP拆分场外费用(司调)'!G236,'[2]总投资-发采购-0411-GLP拆分场外费用(司调)'!G223)</f>
        <v>28051.084587734578</v>
      </c>
      <c r="E213" s="712">
        <f>D213/$A$3</f>
        <v>3945.3002233100669</v>
      </c>
      <c r="F213" s="712">
        <f t="shared" ref="F213:F241" si="15">E213</f>
        <v>3945.3002233100669</v>
      </c>
      <c r="G213" s="685">
        <f t="shared" ref="G213:G241" si="16">D213</f>
        <v>28051.084587734578</v>
      </c>
      <c r="H213" s="715" t="s">
        <v>729</v>
      </c>
      <c r="I213" s="715" t="s">
        <v>30</v>
      </c>
      <c r="J213" s="715">
        <v>18</v>
      </c>
      <c r="K213" s="781" t="s">
        <v>180</v>
      </c>
      <c r="L213" s="715" t="s">
        <v>730</v>
      </c>
      <c r="M213" s="715"/>
      <c r="N213" s="715"/>
      <c r="O213" s="715"/>
      <c r="P213" s="715">
        <v>2025.3</v>
      </c>
      <c r="Q213" s="715">
        <v>2025.4</v>
      </c>
      <c r="R213" s="698" t="s">
        <v>136</v>
      </c>
      <c r="S213" s="698" t="s">
        <v>137</v>
      </c>
      <c r="T213" s="709"/>
    </row>
    <row r="214" spans="1:20" hidden="1">
      <c r="A214" s="717">
        <v>3.2</v>
      </c>
      <c r="B214" s="717" t="s">
        <v>731</v>
      </c>
      <c r="C214" s="718"/>
      <c r="D214" s="719">
        <f>'[2]总投资-发采购-0411-GLP拆分场外费用(司调)'!G236</f>
        <v>8098.2373475978802</v>
      </c>
      <c r="E214" s="720">
        <f>D214/$A$3</f>
        <v>1138.992594598858</v>
      </c>
      <c r="F214" s="720">
        <f t="shared" si="15"/>
        <v>1138.992594598858</v>
      </c>
      <c r="G214" s="720">
        <f t="shared" si="16"/>
        <v>8098.2373475978802</v>
      </c>
      <c r="H214" s="606"/>
      <c r="I214" s="606"/>
      <c r="J214" s="606"/>
      <c r="K214" s="697"/>
      <c r="L214" s="606"/>
      <c r="M214" s="606"/>
      <c r="N214" s="606"/>
      <c r="O214" s="606"/>
      <c r="P214" s="715"/>
      <c r="Q214" s="715"/>
      <c r="R214" s="698"/>
      <c r="S214" s="698"/>
      <c r="T214" s="709"/>
    </row>
    <row r="215" spans="1:20" hidden="1">
      <c r="A215" s="721" t="s">
        <v>345</v>
      </c>
      <c r="B215" s="721" t="s">
        <v>677</v>
      </c>
      <c r="C215" s="722"/>
      <c r="D215" s="688">
        <f>'[2]总投资-发采购-0411-GLP拆分场外费用(司调)'!G237</f>
        <v>4284.5</v>
      </c>
      <c r="E215" s="689">
        <f t="shared" ref="E215:E241" si="17">D215/$A$3</f>
        <v>602.6019690576652</v>
      </c>
      <c r="F215" s="689">
        <f t="shared" si="15"/>
        <v>602.6019690576652</v>
      </c>
      <c r="G215" s="689">
        <f t="shared" si="16"/>
        <v>4284.5</v>
      </c>
      <c r="H215" s="606"/>
      <c r="I215" s="606"/>
      <c r="J215" s="606"/>
      <c r="K215" s="697"/>
      <c r="L215" s="606"/>
      <c r="M215" s="606"/>
      <c r="N215" s="606"/>
      <c r="O215" s="606"/>
      <c r="P215" s="715"/>
      <c r="Q215" s="715"/>
      <c r="R215" s="698"/>
      <c r="S215" s="698"/>
      <c r="T215" s="709"/>
    </row>
    <row r="216" spans="1:20" hidden="1">
      <c r="A216" s="721" t="s">
        <v>346</v>
      </c>
      <c r="B216" s="721" t="s">
        <v>678</v>
      </c>
      <c r="C216" s="722"/>
      <c r="D216" s="688">
        <f>'[2]总投资-发采购-0411-GLP拆分场外费用(司调)'!G238</f>
        <v>26.125</v>
      </c>
      <c r="E216" s="689">
        <f t="shared" si="17"/>
        <v>3.6744022503516174</v>
      </c>
      <c r="F216" s="689">
        <f t="shared" si="15"/>
        <v>3.6744022503516174</v>
      </c>
      <c r="G216" s="689">
        <f t="shared" si="16"/>
        <v>26.125</v>
      </c>
      <c r="H216" s="606"/>
      <c r="I216" s="606"/>
      <c r="J216" s="606"/>
      <c r="K216" s="697"/>
      <c r="L216" s="606"/>
      <c r="M216" s="606"/>
      <c r="N216" s="606"/>
      <c r="O216" s="606"/>
      <c r="P216" s="715"/>
      <c r="Q216" s="715"/>
      <c r="R216" s="698"/>
      <c r="S216" s="698"/>
      <c r="T216" s="709"/>
    </row>
    <row r="217" spans="1:20" hidden="1">
      <c r="A217" s="721" t="s">
        <v>347</v>
      </c>
      <c r="B217" s="721" t="s">
        <v>679</v>
      </c>
      <c r="C217" s="722"/>
      <c r="D217" s="688">
        <f>'[2]总投资-发采购-0411-GLP拆分场外费用(司调)'!G239</f>
        <v>151.52500000000001</v>
      </c>
      <c r="E217" s="689">
        <f t="shared" si="17"/>
        <v>21.31153305203938</v>
      </c>
      <c r="F217" s="689">
        <f t="shared" si="15"/>
        <v>21.31153305203938</v>
      </c>
      <c r="G217" s="689">
        <f t="shared" si="16"/>
        <v>151.52500000000001</v>
      </c>
      <c r="H217" s="606"/>
      <c r="I217" s="606"/>
      <c r="J217" s="606"/>
      <c r="K217" s="697"/>
      <c r="L217" s="606"/>
      <c r="M217" s="606"/>
      <c r="N217" s="606"/>
      <c r="O217" s="606"/>
      <c r="P217" s="715"/>
      <c r="Q217" s="715"/>
      <c r="R217" s="698"/>
      <c r="S217" s="698"/>
      <c r="T217" s="709"/>
    </row>
    <row r="218" spans="1:20" hidden="1">
      <c r="A218" s="721" t="s">
        <v>348</v>
      </c>
      <c r="B218" s="721" t="s">
        <v>680</v>
      </c>
      <c r="C218" s="722"/>
      <c r="D218" s="688">
        <f>'[2]总投资-发采购-0411-GLP拆分场外费用(司调)'!G240</f>
        <v>120.175</v>
      </c>
      <c r="E218" s="689">
        <f t="shared" si="17"/>
        <v>16.90225035161744</v>
      </c>
      <c r="F218" s="689">
        <f t="shared" si="15"/>
        <v>16.90225035161744</v>
      </c>
      <c r="G218" s="689">
        <f t="shared" si="16"/>
        <v>120.175</v>
      </c>
      <c r="H218" s="606"/>
      <c r="I218" s="606"/>
      <c r="J218" s="606"/>
      <c r="K218" s="697"/>
      <c r="L218" s="606"/>
      <c r="M218" s="606"/>
      <c r="N218" s="606"/>
      <c r="O218" s="606"/>
      <c r="P218" s="715"/>
      <c r="Q218" s="715"/>
      <c r="R218" s="698"/>
      <c r="S218" s="698"/>
      <c r="T218" s="709"/>
    </row>
    <row r="219" spans="1:20" hidden="1">
      <c r="A219" s="721" t="s">
        <v>349</v>
      </c>
      <c r="B219" s="721" t="s">
        <v>681</v>
      </c>
      <c r="C219" s="722"/>
      <c r="D219" s="688">
        <f>'[2]总投资-发采购-0411-GLP拆分场外费用(司调)'!G241</f>
        <v>146.30000000000001</v>
      </c>
      <c r="E219" s="689">
        <f t="shared" si="17"/>
        <v>20.576652601969059</v>
      </c>
      <c r="F219" s="689">
        <f t="shared" si="15"/>
        <v>20.576652601969059</v>
      </c>
      <c r="G219" s="689">
        <f t="shared" si="16"/>
        <v>146.30000000000001</v>
      </c>
      <c r="H219" s="606"/>
      <c r="I219" s="606"/>
      <c r="J219" s="606"/>
      <c r="K219" s="697"/>
      <c r="L219" s="606"/>
      <c r="M219" s="606"/>
      <c r="N219" s="606"/>
      <c r="O219" s="606"/>
      <c r="P219" s="715"/>
      <c r="Q219" s="715"/>
      <c r="R219" s="698"/>
      <c r="S219" s="698"/>
      <c r="T219" s="709"/>
    </row>
    <row r="220" spans="1:20" hidden="1">
      <c r="A220" s="721" t="s">
        <v>350</v>
      </c>
      <c r="B220" s="721" t="s">
        <v>682</v>
      </c>
      <c r="C220" s="722"/>
      <c r="D220" s="688">
        <f>'[2]总投资-发采购-0411-GLP拆分场外费用(司调)'!G242</f>
        <v>41.8</v>
      </c>
      <c r="E220" s="689">
        <f t="shared" si="17"/>
        <v>5.8790436005625875</v>
      </c>
      <c r="F220" s="689">
        <f t="shared" si="15"/>
        <v>5.8790436005625875</v>
      </c>
      <c r="G220" s="689">
        <f t="shared" si="16"/>
        <v>41.8</v>
      </c>
      <c r="H220" s="606"/>
      <c r="I220" s="606"/>
      <c r="J220" s="606"/>
      <c r="K220" s="697"/>
      <c r="L220" s="606"/>
      <c r="M220" s="606"/>
      <c r="N220" s="606"/>
      <c r="O220" s="606"/>
      <c r="P220" s="715"/>
      <c r="Q220" s="715"/>
      <c r="R220" s="698"/>
      <c r="S220" s="698"/>
      <c r="T220" s="709"/>
    </row>
    <row r="221" spans="1:20" hidden="1">
      <c r="A221" s="721" t="s">
        <v>351</v>
      </c>
      <c r="B221" s="721" t="s">
        <v>683</v>
      </c>
      <c r="C221" s="722"/>
      <c r="D221" s="688">
        <f>'[2]总投资-发采购-0411-GLP拆分场外费用(司调)'!G243</f>
        <v>209</v>
      </c>
      <c r="E221" s="689">
        <f t="shared" si="17"/>
        <v>29.395218002812939</v>
      </c>
      <c r="F221" s="689">
        <f t="shared" si="15"/>
        <v>29.395218002812939</v>
      </c>
      <c r="G221" s="689">
        <f t="shared" si="16"/>
        <v>209</v>
      </c>
      <c r="H221" s="606"/>
      <c r="I221" s="606"/>
      <c r="J221" s="606"/>
      <c r="K221" s="697"/>
      <c r="L221" s="606"/>
      <c r="M221" s="606"/>
      <c r="N221" s="606"/>
      <c r="O221" s="606"/>
      <c r="P221" s="715"/>
      <c r="Q221" s="715"/>
      <c r="R221" s="698"/>
      <c r="S221" s="698"/>
      <c r="T221" s="709"/>
    </row>
    <row r="222" spans="1:20" hidden="1">
      <c r="A222" s="721"/>
      <c r="B222" s="785" t="s">
        <v>205</v>
      </c>
      <c r="C222" s="722"/>
      <c r="D222" s="688">
        <f>'[2]总投资-发采购-0411-GLP拆分场外费用(司调)'!G244</f>
        <v>2754.81234759788</v>
      </c>
      <c r="E222" s="689">
        <f t="shared" si="17"/>
        <v>387.45602638507455</v>
      </c>
      <c r="F222" s="689">
        <f t="shared" si="15"/>
        <v>387.45602638507455</v>
      </c>
      <c r="G222" s="689">
        <f t="shared" si="16"/>
        <v>2754.81234759788</v>
      </c>
      <c r="H222" s="606"/>
      <c r="I222" s="606"/>
      <c r="J222" s="606"/>
      <c r="K222" s="697"/>
      <c r="L222" s="606"/>
      <c r="M222" s="606"/>
      <c r="N222" s="606"/>
      <c r="O222" s="606"/>
      <c r="P222" s="715"/>
      <c r="Q222" s="715"/>
      <c r="R222" s="698"/>
      <c r="S222" s="698"/>
      <c r="T222" s="709"/>
    </row>
    <row r="223" spans="1:20" hidden="1">
      <c r="A223" s="721" t="s">
        <v>352</v>
      </c>
      <c r="B223" s="721" t="s">
        <v>685</v>
      </c>
      <c r="C223" s="722"/>
      <c r="D223" s="688">
        <f>'[2]总投资-发采购-0411-GLP拆分场外费用(司调)'!G245</f>
        <v>364</v>
      </c>
      <c r="E223" s="689">
        <f t="shared" si="17"/>
        <v>51.195499296765121</v>
      </c>
      <c r="F223" s="689">
        <f t="shared" si="15"/>
        <v>51.195499296765121</v>
      </c>
      <c r="G223" s="689">
        <f t="shared" si="16"/>
        <v>364</v>
      </c>
      <c r="H223" s="606"/>
      <c r="I223" s="606"/>
      <c r="J223" s="606"/>
      <c r="K223" s="697"/>
      <c r="L223" s="606"/>
      <c r="M223" s="606"/>
      <c r="N223" s="606"/>
      <c r="O223" s="606"/>
      <c r="P223" s="715"/>
      <c r="Q223" s="715"/>
      <c r="R223" s="698"/>
      <c r="S223" s="698"/>
      <c r="T223" s="709"/>
    </row>
    <row r="224" spans="1:20" hidden="1">
      <c r="A224" s="721"/>
      <c r="B224" s="721" t="s">
        <v>732</v>
      </c>
      <c r="C224" s="722"/>
      <c r="D224" s="688">
        <f>'[2]总投资-发采购-0411-GLP拆分场外费用(司调)'!G246</f>
        <v>289</v>
      </c>
      <c r="E224" s="689">
        <f t="shared" si="17"/>
        <v>40.646976090014064</v>
      </c>
      <c r="F224" s="689">
        <f t="shared" si="15"/>
        <v>40.646976090014064</v>
      </c>
      <c r="G224" s="689">
        <f t="shared" si="16"/>
        <v>289</v>
      </c>
      <c r="H224" s="606"/>
      <c r="I224" s="606"/>
      <c r="J224" s="606"/>
      <c r="K224" s="697"/>
      <c r="L224" s="606"/>
      <c r="M224" s="606"/>
      <c r="N224" s="606"/>
      <c r="O224" s="606"/>
      <c r="P224" s="715"/>
      <c r="Q224" s="715"/>
      <c r="R224" s="698"/>
      <c r="S224" s="698"/>
      <c r="T224" s="709"/>
    </row>
    <row r="225" spans="1:20" hidden="1">
      <c r="A225" s="721"/>
      <c r="B225" s="721" t="s">
        <v>686</v>
      </c>
      <c r="C225" s="722"/>
      <c r="D225" s="688">
        <f>'[2]总投资-发采购-0411-GLP拆分场外费用(司调)'!G247</f>
        <v>4</v>
      </c>
      <c r="E225" s="689">
        <f t="shared" si="17"/>
        <v>0.56258790436005623</v>
      </c>
      <c r="F225" s="689">
        <f t="shared" si="15"/>
        <v>0.56258790436005623</v>
      </c>
      <c r="G225" s="689">
        <f t="shared" si="16"/>
        <v>4</v>
      </c>
      <c r="H225" s="606"/>
      <c r="I225" s="606"/>
      <c r="J225" s="606"/>
      <c r="K225" s="697"/>
      <c r="L225" s="606"/>
      <c r="M225" s="606"/>
      <c r="N225" s="606"/>
      <c r="O225" s="606"/>
      <c r="P225" s="715"/>
      <c r="Q225" s="715"/>
      <c r="R225" s="698"/>
      <c r="S225" s="698"/>
      <c r="T225" s="709"/>
    </row>
    <row r="226" spans="1:20" hidden="1">
      <c r="A226" s="721"/>
      <c r="B226" s="721" t="s">
        <v>687</v>
      </c>
      <c r="C226" s="722"/>
      <c r="D226" s="688">
        <f>'[2]总投资-发采购-0411-GLP拆分场外费用(司调)'!G248</f>
        <v>4</v>
      </c>
      <c r="E226" s="689">
        <f t="shared" si="17"/>
        <v>0.56258790436005623</v>
      </c>
      <c r="F226" s="689">
        <f t="shared" si="15"/>
        <v>0.56258790436005623</v>
      </c>
      <c r="G226" s="689">
        <f t="shared" si="16"/>
        <v>4</v>
      </c>
      <c r="H226" s="606"/>
      <c r="I226" s="606"/>
      <c r="J226" s="606"/>
      <c r="K226" s="697"/>
      <c r="L226" s="606"/>
      <c r="M226" s="606"/>
      <c r="N226" s="606"/>
      <c r="O226" s="606"/>
      <c r="P226" s="715"/>
      <c r="Q226" s="715"/>
      <c r="R226" s="698"/>
      <c r="S226" s="698"/>
      <c r="T226" s="709"/>
    </row>
    <row r="227" spans="1:20" hidden="1">
      <c r="A227" s="721"/>
      <c r="B227" s="721" t="s">
        <v>688</v>
      </c>
      <c r="C227" s="722"/>
      <c r="D227" s="688">
        <f>'[2]总投资-发采购-0411-GLP拆分场外费用(司调)'!G249</f>
        <v>32</v>
      </c>
      <c r="E227" s="689">
        <f t="shared" si="17"/>
        <v>4.5007032348804499</v>
      </c>
      <c r="F227" s="689">
        <f t="shared" si="15"/>
        <v>4.5007032348804499</v>
      </c>
      <c r="G227" s="689">
        <f t="shared" si="16"/>
        <v>32</v>
      </c>
      <c r="H227" s="606"/>
      <c r="I227" s="606"/>
      <c r="J227" s="606"/>
      <c r="K227" s="697"/>
      <c r="L227" s="606"/>
      <c r="M227" s="606"/>
      <c r="N227" s="606"/>
      <c r="O227" s="606"/>
      <c r="P227" s="715"/>
      <c r="Q227" s="715"/>
      <c r="R227" s="698"/>
      <c r="S227" s="698"/>
      <c r="T227" s="709"/>
    </row>
    <row r="228" spans="1:20" hidden="1">
      <c r="A228" s="721"/>
      <c r="B228" s="721" t="s">
        <v>733</v>
      </c>
      <c r="C228" s="722"/>
      <c r="D228" s="688">
        <f>'[2]总投资-发采购-0411-GLP拆分场外费用(司调)'!G250</f>
        <v>35</v>
      </c>
      <c r="E228" s="689">
        <f t="shared" si="17"/>
        <v>4.9226441631504922</v>
      </c>
      <c r="F228" s="689">
        <f t="shared" si="15"/>
        <v>4.9226441631504922</v>
      </c>
      <c r="G228" s="689">
        <f t="shared" si="16"/>
        <v>35</v>
      </c>
      <c r="H228" s="606"/>
      <c r="I228" s="606"/>
      <c r="J228" s="606"/>
      <c r="K228" s="697"/>
      <c r="L228" s="606"/>
      <c r="M228" s="606"/>
      <c r="N228" s="606"/>
      <c r="O228" s="606"/>
      <c r="P228" s="715"/>
      <c r="Q228" s="715"/>
      <c r="R228" s="698"/>
      <c r="S228" s="698"/>
      <c r="T228" s="709"/>
    </row>
    <row r="229" spans="1:20" hidden="1">
      <c r="A229" s="717">
        <v>3.1</v>
      </c>
      <c r="B229" s="717" t="s">
        <v>734</v>
      </c>
      <c r="C229" s="718"/>
      <c r="D229" s="719">
        <f>'[2]总投资-发采购-0411-GLP拆分场外费用(司调)'!G223</f>
        <v>19952.8472401367</v>
      </c>
      <c r="E229" s="720">
        <f t="shared" si="17"/>
        <v>2806.3076287112094</v>
      </c>
      <c r="F229" s="720">
        <f t="shared" si="15"/>
        <v>2806.3076287112094</v>
      </c>
      <c r="G229" s="720">
        <f t="shared" si="16"/>
        <v>19952.8472401367</v>
      </c>
      <c r="H229" s="606"/>
      <c r="I229" s="606"/>
      <c r="J229" s="606"/>
      <c r="K229" s="697"/>
      <c r="L229" s="606"/>
      <c r="M229" s="606"/>
      <c r="N229" s="606"/>
      <c r="O229" s="606"/>
      <c r="P229" s="715"/>
      <c r="Q229" s="715"/>
      <c r="R229" s="698"/>
      <c r="S229" s="698"/>
      <c r="T229" s="709"/>
    </row>
    <row r="230" spans="1:20" hidden="1">
      <c r="A230" s="721" t="s">
        <v>356</v>
      </c>
      <c r="B230" s="721" t="s">
        <v>677</v>
      </c>
      <c r="C230" s="722"/>
      <c r="D230" s="688">
        <f>'[2]总投资-发采购-0411-GLP拆分场外费用(司调)'!G224</f>
        <v>14787.06</v>
      </c>
      <c r="E230" s="689">
        <f t="shared" si="17"/>
        <v>2079.7552742616031</v>
      </c>
      <c r="F230" s="689">
        <f t="shared" si="15"/>
        <v>2079.7552742616031</v>
      </c>
      <c r="G230" s="689">
        <f t="shared" si="16"/>
        <v>14787.06</v>
      </c>
      <c r="H230" s="606"/>
      <c r="I230" s="606"/>
      <c r="J230" s="606"/>
      <c r="K230" s="697"/>
      <c r="L230" s="606"/>
      <c r="M230" s="606"/>
      <c r="N230" s="606"/>
      <c r="O230" s="606"/>
      <c r="P230" s="715"/>
      <c r="Q230" s="715"/>
      <c r="R230" s="698"/>
      <c r="S230" s="698"/>
      <c r="T230" s="709"/>
    </row>
    <row r="231" spans="1:20" hidden="1">
      <c r="A231" s="721" t="s">
        <v>357</v>
      </c>
      <c r="B231" s="721" t="s">
        <v>678</v>
      </c>
      <c r="C231" s="722"/>
      <c r="D231" s="688">
        <f>'[2]总投资-发采购-0411-GLP拆分场外费用(司调)'!G225</f>
        <v>98.580399999999997</v>
      </c>
      <c r="E231" s="689">
        <f t="shared" si="17"/>
        <v>13.865035161744022</v>
      </c>
      <c r="F231" s="689">
        <f t="shared" si="15"/>
        <v>13.865035161744022</v>
      </c>
      <c r="G231" s="689">
        <f t="shared" si="16"/>
        <v>98.580399999999997</v>
      </c>
      <c r="H231" s="606"/>
      <c r="I231" s="606"/>
      <c r="J231" s="606"/>
      <c r="K231" s="697"/>
      <c r="L231" s="606"/>
      <c r="M231" s="606"/>
      <c r="N231" s="606"/>
      <c r="O231" s="606"/>
      <c r="P231" s="715"/>
      <c r="Q231" s="715"/>
      <c r="R231" s="698"/>
      <c r="S231" s="698"/>
      <c r="T231" s="709"/>
    </row>
    <row r="232" spans="1:20" hidden="1">
      <c r="A232" s="721" t="s">
        <v>358</v>
      </c>
      <c r="B232" s="721" t="s">
        <v>679</v>
      </c>
      <c r="C232" s="722"/>
      <c r="D232" s="688">
        <f>'[2]总投资-发采购-0411-GLP拆分场外费用(司调)'!G226</f>
        <v>571.76631999999995</v>
      </c>
      <c r="E232" s="689">
        <f t="shared" si="17"/>
        <v>80.417203938115321</v>
      </c>
      <c r="F232" s="689">
        <f t="shared" si="15"/>
        <v>80.417203938115321</v>
      </c>
      <c r="G232" s="689">
        <f t="shared" si="16"/>
        <v>571.76631999999995</v>
      </c>
      <c r="H232" s="606"/>
      <c r="I232" s="606"/>
      <c r="J232" s="606"/>
      <c r="K232" s="697"/>
      <c r="L232" s="606"/>
      <c r="M232" s="606"/>
      <c r="N232" s="606"/>
      <c r="O232" s="606"/>
      <c r="P232" s="715"/>
      <c r="Q232" s="715"/>
      <c r="R232" s="698"/>
      <c r="S232" s="698"/>
      <c r="T232" s="709"/>
    </row>
    <row r="233" spans="1:20" hidden="1">
      <c r="A233" s="721" t="s">
        <v>359</v>
      </c>
      <c r="B233" s="721" t="s">
        <v>680</v>
      </c>
      <c r="C233" s="722"/>
      <c r="D233" s="688">
        <f>'[2]总投资-发采购-0411-GLP拆分场外费用(司调)'!G227</f>
        <v>453.46983999999998</v>
      </c>
      <c r="E233" s="689">
        <f t="shared" si="17"/>
        <v>63.779161744022495</v>
      </c>
      <c r="F233" s="689">
        <f t="shared" si="15"/>
        <v>63.779161744022495</v>
      </c>
      <c r="G233" s="689">
        <f t="shared" si="16"/>
        <v>453.46983999999998</v>
      </c>
      <c r="H233" s="606"/>
      <c r="I233" s="606"/>
      <c r="J233" s="606"/>
      <c r="K233" s="697"/>
      <c r="L233" s="606"/>
      <c r="M233" s="606"/>
      <c r="N233" s="606"/>
      <c r="O233" s="606"/>
      <c r="P233" s="715"/>
      <c r="Q233" s="715"/>
      <c r="R233" s="698"/>
      <c r="S233" s="698"/>
      <c r="T233" s="709"/>
    </row>
    <row r="234" spans="1:20" hidden="1">
      <c r="A234" s="721" t="s">
        <v>360</v>
      </c>
      <c r="B234" s="721" t="s">
        <v>681</v>
      </c>
      <c r="C234" s="722"/>
      <c r="D234" s="688">
        <f>'[2]总投资-发采购-0411-GLP拆分场外费用(司调)'!G228</f>
        <v>552.05024000000003</v>
      </c>
      <c r="E234" s="689">
        <f t="shared" si="17"/>
        <v>77.64419690576652</v>
      </c>
      <c r="F234" s="689">
        <f t="shared" si="15"/>
        <v>77.64419690576652</v>
      </c>
      <c r="G234" s="689">
        <f t="shared" si="16"/>
        <v>552.05024000000003</v>
      </c>
      <c r="H234" s="715"/>
      <c r="I234" s="715"/>
      <c r="J234" s="715"/>
      <c r="K234" s="697"/>
      <c r="L234" s="715"/>
      <c r="M234" s="715"/>
      <c r="N234" s="715"/>
      <c r="O234" s="715"/>
      <c r="P234" s="715"/>
      <c r="Q234" s="715"/>
      <c r="R234" s="698"/>
      <c r="S234" s="742"/>
      <c r="T234" s="709"/>
    </row>
    <row r="235" spans="1:20" hidden="1">
      <c r="A235" s="721" t="s">
        <v>361</v>
      </c>
      <c r="B235" s="721" t="s">
        <v>682</v>
      </c>
      <c r="C235" s="722"/>
      <c r="D235" s="688">
        <f>'[2]总投资-发采购-0411-GLP拆分场外费用(司调)'!G229</f>
        <v>157.72864000000001</v>
      </c>
      <c r="E235" s="689">
        <f t="shared" si="17"/>
        <v>22.184056258790438</v>
      </c>
      <c r="F235" s="689">
        <f t="shared" si="15"/>
        <v>22.184056258790438</v>
      </c>
      <c r="G235" s="689">
        <f t="shared" si="16"/>
        <v>157.72864000000001</v>
      </c>
      <c r="H235" s="606"/>
      <c r="I235" s="606"/>
      <c r="J235" s="606"/>
      <c r="K235" s="697"/>
      <c r="L235" s="606"/>
      <c r="M235" s="606"/>
      <c r="N235" s="606"/>
      <c r="O235" s="606"/>
      <c r="P235" s="715"/>
      <c r="Q235" s="715"/>
      <c r="R235" s="698"/>
      <c r="S235" s="698"/>
      <c r="T235" s="709"/>
    </row>
    <row r="236" spans="1:20" hidden="1">
      <c r="A236" s="721" t="s">
        <v>362</v>
      </c>
      <c r="B236" s="721" t="s">
        <v>683</v>
      </c>
      <c r="C236" s="722"/>
      <c r="D236" s="688">
        <f>'[2]总投资-发采购-0411-GLP拆分场外费用(司调)'!G230</f>
        <v>788.64319999999998</v>
      </c>
      <c r="E236" s="689">
        <f t="shared" si="17"/>
        <v>110.92028129395217</v>
      </c>
      <c r="F236" s="689">
        <f t="shared" si="15"/>
        <v>110.92028129395217</v>
      </c>
      <c r="G236" s="689">
        <f t="shared" si="16"/>
        <v>788.64319999999998</v>
      </c>
      <c r="H236" s="606"/>
      <c r="I236" s="606"/>
      <c r="J236" s="606"/>
      <c r="K236" s="697"/>
      <c r="L236" s="606"/>
      <c r="M236" s="606"/>
      <c r="N236" s="606"/>
      <c r="O236" s="606"/>
      <c r="P236" s="715"/>
      <c r="Q236" s="715"/>
      <c r="R236" s="698"/>
      <c r="S236" s="698"/>
      <c r="T236" s="709"/>
    </row>
    <row r="237" spans="1:20" hidden="1">
      <c r="A237" s="721"/>
      <c r="B237" s="785" t="s">
        <v>205</v>
      </c>
      <c r="C237" s="722"/>
      <c r="D237" s="688">
        <f>'[2]总投资-发采购-0411-GLP拆分场外费用(司调)'!G231</f>
        <v>2458.5486001366498</v>
      </c>
      <c r="E237" s="689">
        <f t="shared" si="17"/>
        <v>345.78742617955692</v>
      </c>
      <c r="F237" s="689">
        <f t="shared" si="15"/>
        <v>345.78742617955692</v>
      </c>
      <c r="G237" s="689">
        <f t="shared" si="16"/>
        <v>2458.5486001366498</v>
      </c>
      <c r="H237" s="606"/>
      <c r="I237" s="606"/>
      <c r="J237" s="606"/>
      <c r="K237" s="697"/>
      <c r="L237" s="606"/>
      <c r="M237" s="606"/>
      <c r="N237" s="606"/>
      <c r="O237" s="606"/>
      <c r="P237" s="715"/>
      <c r="Q237" s="715"/>
      <c r="R237" s="698"/>
      <c r="S237" s="698"/>
      <c r="T237" s="709"/>
    </row>
    <row r="238" spans="1:20" hidden="1">
      <c r="A238" s="721" t="s">
        <v>363</v>
      </c>
      <c r="B238" s="721" t="s">
        <v>685</v>
      </c>
      <c r="C238" s="722"/>
      <c r="D238" s="688">
        <f>'[2]总投资-发采购-0411-GLP拆分场外费用(司调)'!G232</f>
        <v>85</v>
      </c>
      <c r="E238" s="689">
        <f t="shared" si="17"/>
        <v>11.954992967651195</v>
      </c>
      <c r="F238" s="689">
        <f t="shared" si="15"/>
        <v>11.954992967651195</v>
      </c>
      <c r="G238" s="689">
        <f t="shared" si="16"/>
        <v>85</v>
      </c>
      <c r="H238" s="606"/>
      <c r="I238" s="606"/>
      <c r="J238" s="606"/>
      <c r="K238" s="697"/>
      <c r="L238" s="606"/>
      <c r="M238" s="606"/>
      <c r="N238" s="606"/>
      <c r="O238" s="606"/>
      <c r="P238" s="715"/>
      <c r="Q238" s="715"/>
      <c r="R238" s="698"/>
      <c r="S238" s="698"/>
      <c r="T238" s="709"/>
    </row>
    <row r="239" spans="1:20" hidden="1">
      <c r="A239" s="721"/>
      <c r="B239" s="721" t="s">
        <v>686</v>
      </c>
      <c r="C239" s="722"/>
      <c r="D239" s="688">
        <f>'[2]总投资-发采购-0411-GLP拆分场外费用(司调)'!G233</f>
        <v>4</v>
      </c>
      <c r="E239" s="689">
        <f t="shared" si="17"/>
        <v>0.56258790436005623</v>
      </c>
      <c r="F239" s="689">
        <f t="shared" si="15"/>
        <v>0.56258790436005623</v>
      </c>
      <c r="G239" s="689">
        <f t="shared" si="16"/>
        <v>4</v>
      </c>
      <c r="H239" s="606"/>
      <c r="I239" s="606"/>
      <c r="J239" s="606"/>
      <c r="K239" s="697"/>
      <c r="L239" s="606"/>
      <c r="M239" s="606"/>
      <c r="N239" s="606"/>
      <c r="O239" s="606"/>
      <c r="P239" s="715"/>
      <c r="Q239" s="715"/>
      <c r="R239" s="698"/>
      <c r="S239" s="698"/>
      <c r="T239" s="709"/>
    </row>
    <row r="240" spans="1:20" hidden="1">
      <c r="A240" s="721"/>
      <c r="B240" s="721" t="s">
        <v>687</v>
      </c>
      <c r="C240" s="722"/>
      <c r="D240" s="688">
        <f>'[2]总投资-发采购-0411-GLP拆分场外费用(司调)'!G234</f>
        <v>15</v>
      </c>
      <c r="E240" s="689">
        <f t="shared" si="17"/>
        <v>2.109704641350211</v>
      </c>
      <c r="F240" s="689">
        <f t="shared" si="15"/>
        <v>2.109704641350211</v>
      </c>
      <c r="G240" s="689">
        <f t="shared" si="16"/>
        <v>15</v>
      </c>
      <c r="H240" s="606"/>
      <c r="I240" s="606"/>
      <c r="J240" s="606"/>
      <c r="K240" s="697"/>
      <c r="L240" s="606"/>
      <c r="M240" s="606"/>
      <c r="N240" s="606"/>
      <c r="O240" s="606"/>
      <c r="P240" s="715"/>
      <c r="Q240" s="715"/>
      <c r="R240" s="698"/>
      <c r="S240" s="698"/>
      <c r="T240" s="709"/>
    </row>
    <row r="241" spans="1:20" hidden="1">
      <c r="A241" s="721"/>
      <c r="B241" s="721" t="s">
        <v>688</v>
      </c>
      <c r="C241" s="722"/>
      <c r="D241" s="688">
        <f>'[2]总投资-发采购-0411-GLP拆分场外费用(司调)'!G235</f>
        <v>66</v>
      </c>
      <c r="E241" s="689">
        <f t="shared" si="17"/>
        <v>9.2827004219409286</v>
      </c>
      <c r="F241" s="689">
        <f t="shared" si="15"/>
        <v>9.2827004219409286</v>
      </c>
      <c r="G241" s="689">
        <f t="shared" si="16"/>
        <v>66</v>
      </c>
      <c r="H241" s="606"/>
      <c r="I241" s="606"/>
      <c r="J241" s="606"/>
      <c r="K241" s="697"/>
      <c r="L241" s="606"/>
      <c r="M241" s="606"/>
      <c r="N241" s="606"/>
      <c r="O241" s="606"/>
      <c r="P241" s="715"/>
      <c r="Q241" s="715"/>
      <c r="R241" s="698"/>
      <c r="S241" s="698"/>
      <c r="T241" s="709"/>
    </row>
    <row r="242" spans="1:20">
      <c r="A242" s="1075" t="s">
        <v>340</v>
      </c>
      <c r="B242" s="1076"/>
      <c r="C242" s="1077"/>
      <c r="D242" s="713">
        <f>SUM(D213)</f>
        <v>28051.084587734578</v>
      </c>
      <c r="E242" s="713">
        <f t="shared" ref="E242:G242" si="18">SUM(E213)</f>
        <v>3945.3002233100669</v>
      </c>
      <c r="F242" s="713">
        <f t="shared" si="18"/>
        <v>3945.3002233100669</v>
      </c>
      <c r="G242" s="713">
        <f t="shared" si="18"/>
        <v>28051.084587734578</v>
      </c>
      <c r="H242" s="606"/>
      <c r="I242" s="606"/>
      <c r="J242" s="606"/>
      <c r="K242" s="606"/>
      <c r="L242" s="606"/>
      <c r="M242" s="606"/>
      <c r="N242" s="606"/>
      <c r="O242" s="606"/>
      <c r="P242" s="606"/>
      <c r="Q242" s="606"/>
      <c r="R242" s="738"/>
      <c r="S242" s="606"/>
      <c r="T242" s="606"/>
    </row>
    <row r="243" spans="1:20">
      <c r="A243" s="786" t="s">
        <v>364</v>
      </c>
      <c r="B243" s="787" t="s">
        <v>365</v>
      </c>
      <c r="C243" s="723"/>
      <c r="D243" s="724"/>
      <c r="E243" s="725"/>
      <c r="F243" s="724"/>
      <c r="G243" s="724"/>
      <c r="H243" s="726"/>
      <c r="I243" s="726"/>
      <c r="J243" s="726"/>
      <c r="K243" s="726"/>
      <c r="L243" s="726"/>
      <c r="M243" s="726"/>
      <c r="N243" s="726"/>
      <c r="O243" s="726"/>
      <c r="P243" s="726"/>
      <c r="Q243" s="726"/>
      <c r="R243" s="743"/>
      <c r="S243" s="744"/>
      <c r="T243" s="706"/>
    </row>
    <row r="244" spans="1:20" ht="42" customHeight="1">
      <c r="A244" s="788" t="s">
        <v>366</v>
      </c>
      <c r="B244" s="789" t="s">
        <v>735</v>
      </c>
      <c r="C244" s="790" t="s">
        <v>368</v>
      </c>
      <c r="D244" s="791">
        <f>SUM('[2]总投资-发采购-0411-GLP拆分场外费用(司调)'!G303,'[2]总投资-发采购-0411-GLP拆分场外费用(司调)'!G307,'[2]总投资-发采购-0411-GLP拆分场外费用(司调)'!G311,'[2]总投资-发采购-0411-GLP拆分场外费用(司调)'!G313,'[2]总投资-发采购-0411-GLP拆分场外费用(司调)'!G315,'[2]总投资-发采购-0411-GLP拆分场外费用(司调)'!G317)</f>
        <v>20312.849999999999</v>
      </c>
      <c r="E244" s="792">
        <f>D244/$A$3</f>
        <v>2856.9409282700417</v>
      </c>
      <c r="F244" s="792">
        <f t="shared" ref="F244:F308" si="19">E244</f>
        <v>2856.9409282700417</v>
      </c>
      <c r="G244" s="792">
        <f>D244</f>
        <v>20312.849999999999</v>
      </c>
      <c r="H244" s="749" t="s">
        <v>133</v>
      </c>
      <c r="I244" s="749" t="s">
        <v>30</v>
      </c>
      <c r="J244" s="749">
        <v>12</v>
      </c>
      <c r="K244" s="754" t="s">
        <v>224</v>
      </c>
      <c r="L244" s="749" t="s">
        <v>135</v>
      </c>
      <c r="M244" s="797" t="s">
        <v>736</v>
      </c>
      <c r="N244" s="749"/>
      <c r="O244" s="749"/>
      <c r="P244" s="755" t="s">
        <v>737</v>
      </c>
      <c r="Q244" s="755" t="s">
        <v>738</v>
      </c>
      <c r="R244" s="755" t="s">
        <v>739</v>
      </c>
      <c r="S244" s="755" t="s">
        <v>740</v>
      </c>
      <c r="T244" s="754" t="s">
        <v>741</v>
      </c>
    </row>
    <row r="245" spans="1:20" hidden="1">
      <c r="A245" s="793">
        <v>6</v>
      </c>
      <c r="B245" s="746" t="s">
        <v>370</v>
      </c>
      <c r="C245" s="794"/>
      <c r="D245" s="795">
        <f>'[2]总投资-发采购-0411-GLP拆分场外费用(司调)'!G303</f>
        <v>2688.05</v>
      </c>
      <c r="E245" s="748">
        <f>D245/$A$3</f>
        <v>378.06610407876229</v>
      </c>
      <c r="F245" s="748">
        <f>D245/$A$3</f>
        <v>378.06610407876229</v>
      </c>
      <c r="G245" s="748">
        <f>D245</f>
        <v>2688.05</v>
      </c>
      <c r="H245" s="796"/>
      <c r="I245" s="796"/>
      <c r="J245" s="796"/>
      <c r="K245" s="754" t="s">
        <v>224</v>
      </c>
      <c r="L245" s="796"/>
      <c r="M245" s="796"/>
      <c r="N245" s="796"/>
      <c r="O245" s="796"/>
      <c r="P245" s="798"/>
      <c r="Q245" s="755"/>
      <c r="R245" s="755"/>
      <c r="S245" s="755"/>
      <c r="T245" s="754"/>
    </row>
    <row r="246" spans="1:20" hidden="1">
      <c r="A246" s="745" t="s">
        <v>371</v>
      </c>
      <c r="B246" s="746" t="s">
        <v>742</v>
      </c>
      <c r="C246" s="746"/>
      <c r="D246" s="795">
        <f>'[2]总投资-发采购-0411-GLP拆分场外费用(司调)'!G304</f>
        <v>399.45</v>
      </c>
      <c r="E246" s="748">
        <f t="shared" ref="E246:E264" si="20">D246/$A$3</f>
        <v>56.181434599156113</v>
      </c>
      <c r="F246" s="748">
        <f t="shared" ref="F246:F261" si="21">D246/$A$3</f>
        <v>56.181434599156113</v>
      </c>
      <c r="G246" s="748">
        <f t="shared" ref="G246:G262" si="22">D246</f>
        <v>399.45</v>
      </c>
      <c r="H246" s="796"/>
      <c r="I246" s="796"/>
      <c r="J246" s="796"/>
      <c r="K246" s="754" t="s">
        <v>224</v>
      </c>
      <c r="L246" s="796"/>
      <c r="M246" s="796"/>
      <c r="N246" s="796"/>
      <c r="O246" s="796"/>
      <c r="P246" s="798"/>
      <c r="Q246" s="755"/>
      <c r="R246" s="755"/>
      <c r="S246" s="755"/>
      <c r="T246" s="754"/>
    </row>
    <row r="247" spans="1:20" hidden="1">
      <c r="A247" s="745" t="s">
        <v>373</v>
      </c>
      <c r="B247" s="746" t="s">
        <v>743</v>
      </c>
      <c r="C247" s="746"/>
      <c r="D247" s="795">
        <f>'[2]总投资-发采购-0411-GLP拆分场外费用(司调)'!G305</f>
        <v>2145.6</v>
      </c>
      <c r="E247" s="748">
        <f t="shared" si="20"/>
        <v>301.77215189873414</v>
      </c>
      <c r="F247" s="748">
        <f t="shared" si="21"/>
        <v>301.77215189873414</v>
      </c>
      <c r="G247" s="748">
        <f t="shared" si="22"/>
        <v>2145.6</v>
      </c>
      <c r="H247" s="796"/>
      <c r="I247" s="796"/>
      <c r="J247" s="796"/>
      <c r="K247" s="754" t="s">
        <v>224</v>
      </c>
      <c r="L247" s="796"/>
      <c r="M247" s="796"/>
      <c r="N247" s="796"/>
      <c r="O247" s="796"/>
      <c r="P247" s="798"/>
      <c r="Q247" s="755"/>
      <c r="R247" s="755"/>
      <c r="S247" s="755"/>
      <c r="T247" s="754"/>
    </row>
    <row r="248" spans="1:20" hidden="1">
      <c r="A248" s="745" t="s">
        <v>375</v>
      </c>
      <c r="B248" s="746" t="s">
        <v>744</v>
      </c>
      <c r="C248" s="746"/>
      <c r="D248" s="795">
        <f>'[2]总投资-发采购-0411-GLP拆分场外费用(司调)'!G306</f>
        <v>143</v>
      </c>
      <c r="E248" s="748">
        <f t="shared" si="20"/>
        <v>20.112517580872009</v>
      </c>
      <c r="F248" s="748">
        <f t="shared" si="21"/>
        <v>20.112517580872009</v>
      </c>
      <c r="G248" s="748">
        <f t="shared" si="22"/>
        <v>143</v>
      </c>
      <c r="H248" s="796"/>
      <c r="I248" s="796"/>
      <c r="J248" s="796"/>
      <c r="K248" s="754" t="s">
        <v>224</v>
      </c>
      <c r="L248" s="796"/>
      <c r="M248" s="796"/>
      <c r="N248" s="796"/>
      <c r="O248" s="796"/>
      <c r="P248" s="798"/>
      <c r="Q248" s="755"/>
      <c r="R248" s="755"/>
      <c r="S248" s="755"/>
      <c r="T248" s="754"/>
    </row>
    <row r="249" spans="1:20" hidden="1">
      <c r="A249" s="745" t="s">
        <v>377</v>
      </c>
      <c r="B249" s="746" t="s">
        <v>745</v>
      </c>
      <c r="C249" s="746"/>
      <c r="D249" s="795">
        <f>'[2]总投资-发采购-0411-GLP拆分场外费用(司调)'!G307</f>
        <v>6521.05</v>
      </c>
      <c r="E249" s="748">
        <f t="shared" si="20"/>
        <v>917.16596343178617</v>
      </c>
      <c r="F249" s="748">
        <f t="shared" si="21"/>
        <v>917.16596343178617</v>
      </c>
      <c r="G249" s="748">
        <f t="shared" si="22"/>
        <v>6521.05</v>
      </c>
      <c r="H249" s="796"/>
      <c r="I249" s="796"/>
      <c r="J249" s="796"/>
      <c r="K249" s="754" t="s">
        <v>224</v>
      </c>
      <c r="L249" s="796"/>
      <c r="M249" s="796"/>
      <c r="N249" s="796"/>
      <c r="O249" s="796"/>
      <c r="P249" s="798"/>
      <c r="Q249" s="755"/>
      <c r="R249" s="755"/>
      <c r="S249" s="755"/>
      <c r="T249" s="754"/>
    </row>
    <row r="250" spans="1:20" hidden="1">
      <c r="A250" s="745">
        <v>6.2</v>
      </c>
      <c r="B250" s="746" t="s">
        <v>746</v>
      </c>
      <c r="C250" s="746"/>
      <c r="D250" s="795">
        <f>'[2]总投资-发采购-0411-GLP拆分场外费用(司调)'!G307</f>
        <v>6521.05</v>
      </c>
      <c r="E250" s="748">
        <f t="shared" si="20"/>
        <v>917.16596343178617</v>
      </c>
      <c r="F250" s="748">
        <f t="shared" si="21"/>
        <v>917.16596343178617</v>
      </c>
      <c r="G250" s="748">
        <f t="shared" si="22"/>
        <v>6521.05</v>
      </c>
      <c r="H250" s="796"/>
      <c r="I250" s="796"/>
      <c r="J250" s="796"/>
      <c r="K250" s="754" t="s">
        <v>224</v>
      </c>
      <c r="L250" s="796"/>
      <c r="M250" s="796"/>
      <c r="N250" s="796"/>
      <c r="O250" s="796"/>
      <c r="P250" s="798"/>
      <c r="Q250" s="755"/>
      <c r="R250" s="755"/>
      <c r="S250" s="755"/>
      <c r="T250" s="754"/>
    </row>
    <row r="251" spans="1:20" hidden="1">
      <c r="A251" s="745" t="s">
        <v>380</v>
      </c>
      <c r="B251" s="746" t="s">
        <v>743</v>
      </c>
      <c r="C251" s="746"/>
      <c r="D251" s="795">
        <f>'[2]总投资-发采购-0411-GLP拆分场外费用(司调)'!G308</f>
        <v>356.25</v>
      </c>
      <c r="E251" s="748">
        <f t="shared" si="20"/>
        <v>50.105485232067508</v>
      </c>
      <c r="F251" s="748">
        <f t="shared" si="21"/>
        <v>50.105485232067508</v>
      </c>
      <c r="G251" s="748">
        <f t="shared" si="22"/>
        <v>356.25</v>
      </c>
      <c r="H251" s="796"/>
      <c r="I251" s="796"/>
      <c r="J251" s="796"/>
      <c r="K251" s="754" t="s">
        <v>224</v>
      </c>
      <c r="L251" s="796"/>
      <c r="M251" s="796"/>
      <c r="N251" s="796"/>
      <c r="O251" s="796"/>
      <c r="P251" s="798"/>
      <c r="Q251" s="755"/>
      <c r="R251" s="755"/>
      <c r="S251" s="755"/>
      <c r="T251" s="754"/>
    </row>
    <row r="252" spans="1:20" hidden="1">
      <c r="A252" s="745" t="s">
        <v>381</v>
      </c>
      <c r="B252" s="746" t="s">
        <v>744</v>
      </c>
      <c r="C252" s="746"/>
      <c r="D252" s="795">
        <f>'[2]总投资-发采购-0411-GLP拆分场外费用(司调)'!G309</f>
        <v>5956.8</v>
      </c>
      <c r="E252" s="748">
        <f t="shared" si="20"/>
        <v>837.80590717299572</v>
      </c>
      <c r="F252" s="748">
        <f t="shared" si="21"/>
        <v>837.80590717299572</v>
      </c>
      <c r="G252" s="748">
        <f t="shared" si="22"/>
        <v>5956.8</v>
      </c>
      <c r="H252" s="796"/>
      <c r="I252" s="796"/>
      <c r="J252" s="796"/>
      <c r="K252" s="754" t="s">
        <v>224</v>
      </c>
      <c r="L252" s="796"/>
      <c r="M252" s="796"/>
      <c r="N252" s="796"/>
      <c r="O252" s="796"/>
      <c r="P252" s="798"/>
      <c r="Q252" s="755"/>
      <c r="R252" s="755"/>
      <c r="S252" s="755"/>
      <c r="T252" s="754"/>
    </row>
    <row r="253" spans="1:20" hidden="1">
      <c r="A253" s="745" t="s">
        <v>382</v>
      </c>
      <c r="B253" s="746" t="s">
        <v>745</v>
      </c>
      <c r="C253" s="746"/>
      <c r="D253" s="795">
        <f>'[2]总投资-发采购-0411-GLP拆分场外费用(司调)'!G310</f>
        <v>208</v>
      </c>
      <c r="E253" s="748">
        <f t="shared" si="20"/>
        <v>29.254571026722925</v>
      </c>
      <c r="F253" s="748">
        <f t="shared" si="21"/>
        <v>29.254571026722925</v>
      </c>
      <c r="G253" s="748">
        <f t="shared" si="22"/>
        <v>208</v>
      </c>
      <c r="H253" s="796"/>
      <c r="I253" s="796"/>
      <c r="J253" s="796"/>
      <c r="K253" s="754" t="s">
        <v>224</v>
      </c>
      <c r="L253" s="796"/>
      <c r="M253" s="796"/>
      <c r="N253" s="796"/>
      <c r="O253" s="796"/>
      <c r="P253" s="798"/>
      <c r="Q253" s="755"/>
      <c r="R253" s="755"/>
      <c r="S253" s="755"/>
      <c r="T253" s="754"/>
    </row>
    <row r="254" spans="1:20" hidden="1">
      <c r="A254" s="745" t="s">
        <v>383</v>
      </c>
      <c r="B254" s="746" t="s">
        <v>747</v>
      </c>
      <c r="C254" s="746"/>
      <c r="D254" s="795">
        <f>'[2]总投资-发采购-0411-GLP拆分场外费用(司调)'!G311</f>
        <v>1959.93</v>
      </c>
      <c r="E254" s="748">
        <f t="shared" si="20"/>
        <v>275.65822784810126</v>
      </c>
      <c r="F254" s="748">
        <f t="shared" si="21"/>
        <v>275.65822784810126</v>
      </c>
      <c r="G254" s="748">
        <f t="shared" si="22"/>
        <v>1959.93</v>
      </c>
      <c r="H254" s="796"/>
      <c r="I254" s="796"/>
      <c r="J254" s="796"/>
      <c r="K254" s="754" t="s">
        <v>224</v>
      </c>
      <c r="L254" s="796"/>
      <c r="M254" s="796"/>
      <c r="N254" s="796"/>
      <c r="O254" s="796"/>
      <c r="P254" s="798"/>
      <c r="Q254" s="755"/>
      <c r="R254" s="755"/>
      <c r="S254" s="755"/>
      <c r="T254" s="754"/>
    </row>
    <row r="255" spans="1:20" hidden="1">
      <c r="A255" s="745" t="s">
        <v>385</v>
      </c>
      <c r="B255" s="746" t="s">
        <v>743</v>
      </c>
      <c r="C255" s="746"/>
      <c r="D255" s="795">
        <f>'[2]总投资-发采购-0411-GLP拆分场外费用(司调)'!G312</f>
        <v>1959.93</v>
      </c>
      <c r="E255" s="748">
        <f t="shared" si="20"/>
        <v>275.65822784810126</v>
      </c>
      <c r="F255" s="748">
        <f t="shared" si="21"/>
        <v>275.65822784810126</v>
      </c>
      <c r="G255" s="748">
        <f t="shared" si="22"/>
        <v>1959.93</v>
      </c>
      <c r="H255" s="796"/>
      <c r="I255" s="796"/>
      <c r="J255" s="796"/>
      <c r="K255" s="754" t="s">
        <v>224</v>
      </c>
      <c r="L255" s="796"/>
      <c r="M255" s="796"/>
      <c r="N255" s="796"/>
      <c r="O255" s="796"/>
      <c r="P255" s="798"/>
      <c r="Q255" s="755"/>
      <c r="R255" s="755"/>
      <c r="S255" s="755"/>
      <c r="T255" s="754"/>
    </row>
    <row r="256" spans="1:20" hidden="1">
      <c r="A256" s="745">
        <v>6.4</v>
      </c>
      <c r="B256" s="746" t="s">
        <v>748</v>
      </c>
      <c r="C256" s="746"/>
      <c r="D256" s="795">
        <f>'[2]总投资-发采购-0411-GLP拆分场外费用(司调)'!G313</f>
        <v>3742.2</v>
      </c>
      <c r="E256" s="748">
        <f t="shared" si="20"/>
        <v>526.3291139240506</v>
      </c>
      <c r="F256" s="748">
        <f t="shared" si="21"/>
        <v>526.3291139240506</v>
      </c>
      <c r="G256" s="748">
        <f t="shared" si="22"/>
        <v>3742.2</v>
      </c>
      <c r="H256" s="796"/>
      <c r="I256" s="796"/>
      <c r="J256" s="796"/>
      <c r="K256" s="754" t="s">
        <v>224</v>
      </c>
      <c r="L256" s="796"/>
      <c r="M256" s="796"/>
      <c r="N256" s="796"/>
      <c r="O256" s="796"/>
      <c r="P256" s="798"/>
      <c r="Q256" s="755"/>
      <c r="R256" s="755"/>
      <c r="S256" s="755"/>
      <c r="T256" s="754"/>
    </row>
    <row r="257" spans="1:20" hidden="1">
      <c r="A257" s="745" t="s">
        <v>387</v>
      </c>
      <c r="B257" s="746" t="s">
        <v>743</v>
      </c>
      <c r="C257" s="746"/>
      <c r="D257" s="795">
        <f>'[2]总投资-发采购-0411-GLP拆分场外费用(司调)'!G314</f>
        <v>3742.2</v>
      </c>
      <c r="E257" s="748">
        <f t="shared" si="20"/>
        <v>526.3291139240506</v>
      </c>
      <c r="F257" s="748">
        <f t="shared" si="21"/>
        <v>526.3291139240506</v>
      </c>
      <c r="G257" s="748">
        <f t="shared" si="22"/>
        <v>3742.2</v>
      </c>
      <c r="H257" s="796"/>
      <c r="I257" s="796"/>
      <c r="J257" s="796"/>
      <c r="K257" s="754" t="s">
        <v>224</v>
      </c>
      <c r="L257" s="796"/>
      <c r="M257" s="796"/>
      <c r="N257" s="796"/>
      <c r="O257" s="796"/>
      <c r="P257" s="798"/>
      <c r="Q257" s="755"/>
      <c r="R257" s="755"/>
      <c r="S257" s="755"/>
      <c r="T257" s="754"/>
    </row>
    <row r="258" spans="1:20" hidden="1">
      <c r="A258" s="745">
        <v>6.5</v>
      </c>
      <c r="B258" s="746" t="s">
        <v>749</v>
      </c>
      <c r="C258" s="746"/>
      <c r="D258" s="795">
        <f>'[2]总投资-发采购-0411-GLP拆分场外费用(司调)'!G315</f>
        <v>4063.5</v>
      </c>
      <c r="E258" s="748">
        <f t="shared" si="20"/>
        <v>571.51898734177212</v>
      </c>
      <c r="F258" s="748">
        <f t="shared" si="21"/>
        <v>571.51898734177212</v>
      </c>
      <c r="G258" s="748">
        <f t="shared" si="22"/>
        <v>4063.5</v>
      </c>
      <c r="H258" s="796"/>
      <c r="I258" s="796"/>
      <c r="J258" s="796"/>
      <c r="K258" s="754" t="s">
        <v>224</v>
      </c>
      <c r="L258" s="796"/>
      <c r="M258" s="796"/>
      <c r="N258" s="796"/>
      <c r="O258" s="796"/>
      <c r="P258" s="798"/>
      <c r="Q258" s="755"/>
      <c r="R258" s="755"/>
      <c r="S258" s="755"/>
      <c r="T258" s="754"/>
    </row>
    <row r="259" spans="1:20" hidden="1">
      <c r="A259" s="745" t="s">
        <v>389</v>
      </c>
      <c r="B259" s="746" t="s">
        <v>743</v>
      </c>
      <c r="C259" s="746"/>
      <c r="D259" s="795">
        <f>'[2]总投资-发采购-0411-GLP拆分场外费用(司调)'!G316</f>
        <v>4063.5</v>
      </c>
      <c r="E259" s="748">
        <f t="shared" si="20"/>
        <v>571.51898734177212</v>
      </c>
      <c r="F259" s="748">
        <f t="shared" si="21"/>
        <v>571.51898734177212</v>
      </c>
      <c r="G259" s="748">
        <f t="shared" si="22"/>
        <v>4063.5</v>
      </c>
      <c r="H259" s="796"/>
      <c r="I259" s="796"/>
      <c r="J259" s="796"/>
      <c r="K259" s="754" t="s">
        <v>224</v>
      </c>
      <c r="L259" s="796"/>
      <c r="M259" s="796"/>
      <c r="N259" s="796"/>
      <c r="O259" s="796"/>
      <c r="P259" s="798"/>
      <c r="Q259" s="755"/>
      <c r="R259" s="755"/>
      <c r="S259" s="755"/>
      <c r="T259" s="754"/>
    </row>
    <row r="260" spans="1:20" hidden="1">
      <c r="A260" s="745">
        <v>6.6</v>
      </c>
      <c r="B260" s="746" t="s">
        <v>750</v>
      </c>
      <c r="C260" s="746"/>
      <c r="D260" s="795">
        <f>'[2]总投资-发采购-0411-GLP拆分场外费用(司调)'!G317</f>
        <v>1338.12</v>
      </c>
      <c r="E260" s="748">
        <f t="shared" si="20"/>
        <v>188.20253164556959</v>
      </c>
      <c r="F260" s="748">
        <f t="shared" si="21"/>
        <v>188.20253164556959</v>
      </c>
      <c r="G260" s="748">
        <f t="shared" si="22"/>
        <v>1338.12</v>
      </c>
      <c r="H260" s="796"/>
      <c r="I260" s="796"/>
      <c r="J260" s="796"/>
      <c r="K260" s="754" t="s">
        <v>224</v>
      </c>
      <c r="L260" s="796"/>
      <c r="M260" s="796"/>
      <c r="N260" s="796"/>
      <c r="O260" s="796"/>
      <c r="P260" s="798"/>
      <c r="Q260" s="755"/>
      <c r="R260" s="755"/>
      <c r="S260" s="755"/>
      <c r="T260" s="754"/>
    </row>
    <row r="261" spans="1:20" hidden="1">
      <c r="A261" s="745" t="s">
        <v>391</v>
      </c>
      <c r="B261" s="746" t="s">
        <v>743</v>
      </c>
      <c r="C261" s="746"/>
      <c r="D261" s="795">
        <f>'[2]总投资-发采购-0411-GLP拆分场外费用(司调)'!G318</f>
        <v>1338.12</v>
      </c>
      <c r="E261" s="748">
        <f t="shared" si="20"/>
        <v>188.20253164556959</v>
      </c>
      <c r="F261" s="748">
        <f t="shared" si="21"/>
        <v>188.20253164556959</v>
      </c>
      <c r="G261" s="748">
        <f t="shared" si="22"/>
        <v>1338.12</v>
      </c>
      <c r="H261" s="796"/>
      <c r="I261" s="796"/>
      <c r="J261" s="796"/>
      <c r="K261" s="754" t="s">
        <v>224</v>
      </c>
      <c r="L261" s="796"/>
      <c r="M261" s="796"/>
      <c r="N261" s="796"/>
      <c r="O261" s="796"/>
      <c r="P261" s="798"/>
      <c r="Q261" s="755"/>
      <c r="R261" s="755"/>
      <c r="S261" s="755"/>
      <c r="T261" s="754"/>
    </row>
    <row r="262" spans="1:20">
      <c r="A262" s="749" t="s">
        <v>392</v>
      </c>
      <c r="B262" s="789" t="s">
        <v>393</v>
      </c>
      <c r="C262" s="789" t="s">
        <v>394</v>
      </c>
      <c r="D262" s="791">
        <f>'[2]总投资-发采购-0411-GLP拆分场外费用(司调)'!G301</f>
        <v>20000</v>
      </c>
      <c r="E262" s="792">
        <f t="shared" si="20"/>
        <v>2812.939521800281</v>
      </c>
      <c r="F262" s="792">
        <f t="shared" si="19"/>
        <v>2812.939521800281</v>
      </c>
      <c r="G262" s="792">
        <f t="shared" si="22"/>
        <v>20000</v>
      </c>
      <c r="H262" s="797" t="s">
        <v>335</v>
      </c>
      <c r="I262" s="749" t="s">
        <v>30</v>
      </c>
      <c r="J262" s="749">
        <v>12</v>
      </c>
      <c r="K262" s="754" t="s">
        <v>224</v>
      </c>
      <c r="L262" s="749"/>
      <c r="M262" s="797" t="s">
        <v>736</v>
      </c>
      <c r="N262" s="749"/>
      <c r="O262" s="749"/>
      <c r="P262" s="755" t="s">
        <v>737</v>
      </c>
      <c r="Q262" s="755" t="s">
        <v>738</v>
      </c>
      <c r="R262" s="755" t="s">
        <v>739</v>
      </c>
      <c r="S262" s="755" t="s">
        <v>740</v>
      </c>
      <c r="T262" s="754"/>
    </row>
    <row r="263" spans="1:20" ht="63" customHeight="1">
      <c r="A263" s="749" t="s">
        <v>58</v>
      </c>
      <c r="B263" s="790" t="s">
        <v>398</v>
      </c>
      <c r="C263" s="790" t="s">
        <v>399</v>
      </c>
      <c r="D263" s="792">
        <f>SUM('[2]总投资-发采购-0411-GLP拆分场外费用(司调)'!G281,'[2]总投资-发采购-0411-GLP拆分场外费用(司调)'!G282,'[2]总投资-发采购-0411-GLP拆分场外费用(司调)'!G283,'[2]总投资-发采购-0411-GLP拆分场外费用(司调)'!G284,'[2]总投资-发采购-0411-GLP拆分场外费用(司调)'!G285,'[2]总投资-发采购-0411-GLP拆分场外费用(司调)'!G286,'[2]总投资-发采购-0411-GLP拆分场外费用(司调)'!G275,'[2]总投资-发采购-0411-GLP拆分场外费用(司调)'!G276,'[2]总投资-发采购-0411-GLP拆分场外费用(司调)'!G277,'[2]总投资-发采购-0411-GLP拆分场外费用(司调)'!G278,'[2]总投资-发采购-0411-GLP拆分场外费用(司调)'!G279)</f>
        <v>5413.5454999999993</v>
      </c>
      <c r="E263" s="792">
        <f t="shared" si="20"/>
        <v>761.39880450070314</v>
      </c>
      <c r="F263" s="792">
        <f t="shared" si="19"/>
        <v>761.39880450070314</v>
      </c>
      <c r="G263" s="792">
        <f t="shared" ref="G263:G311" si="23">D263</f>
        <v>5413.5454999999993</v>
      </c>
      <c r="H263" s="749" t="s">
        <v>400</v>
      </c>
      <c r="I263" s="749" t="s">
        <v>30</v>
      </c>
      <c r="J263" s="749">
        <v>12</v>
      </c>
      <c r="K263" s="754" t="s">
        <v>401</v>
      </c>
      <c r="L263" s="749" t="s">
        <v>135</v>
      </c>
      <c r="M263" s="797" t="s">
        <v>736</v>
      </c>
      <c r="N263" s="749"/>
      <c r="O263" s="749"/>
      <c r="P263" s="755" t="s">
        <v>737</v>
      </c>
      <c r="Q263" s="755" t="s">
        <v>738</v>
      </c>
      <c r="R263" s="755" t="s">
        <v>739</v>
      </c>
      <c r="S263" s="755" t="s">
        <v>740</v>
      </c>
      <c r="T263" s="754" t="s">
        <v>402</v>
      </c>
    </row>
    <row r="264" spans="1:20" hidden="1">
      <c r="A264" s="745" t="s">
        <v>403</v>
      </c>
      <c r="B264" s="746" t="s">
        <v>751</v>
      </c>
      <c r="C264" s="747">
        <f>'[2]总投资-发采购-0411-GLP拆分场外费用(司调)'!H281</f>
        <v>11022</v>
      </c>
      <c r="D264" s="748">
        <f>'[2]总投资-发采购-0411-GLP拆分场外费用(司调)'!G281</f>
        <v>363.67649999999998</v>
      </c>
      <c r="E264" s="748">
        <f t="shared" si="20"/>
        <v>51.149999999999991</v>
      </c>
      <c r="F264" s="748">
        <f>D264</f>
        <v>363.67649999999998</v>
      </c>
      <c r="G264" s="748">
        <f>E264</f>
        <v>51.149999999999991</v>
      </c>
      <c r="H264" s="749"/>
      <c r="I264" s="749"/>
      <c r="J264" s="749"/>
      <c r="K264" s="754"/>
      <c r="L264" s="749"/>
      <c r="M264" s="749"/>
      <c r="N264" s="749"/>
      <c r="O264" s="749"/>
      <c r="P264" s="755"/>
      <c r="Q264" s="738"/>
      <c r="R264" s="738"/>
      <c r="S264" s="738"/>
      <c r="T264" s="697"/>
    </row>
    <row r="265" spans="1:20" hidden="1">
      <c r="A265" s="745" t="s">
        <v>405</v>
      </c>
      <c r="B265" s="746" t="s">
        <v>752</v>
      </c>
      <c r="C265" s="747">
        <f>'[2]总投资-发采购-0411-GLP拆分场外费用(司调)'!H282</f>
        <v>11707</v>
      </c>
      <c r="D265" s="748">
        <f>'[2]总投资-发采购-0411-GLP拆分场外费用(司调)'!G282</f>
        <v>386.1825</v>
      </c>
      <c r="E265" s="748">
        <f t="shared" ref="E265:E275" si="24">D265/$A$3</f>
        <v>54.315400843881854</v>
      </c>
      <c r="F265" s="748">
        <f t="shared" ref="F265:G274" si="25">D265</f>
        <v>386.1825</v>
      </c>
      <c r="G265" s="748">
        <f t="shared" si="25"/>
        <v>54.315400843881854</v>
      </c>
      <c r="H265" s="749"/>
      <c r="I265" s="749"/>
      <c r="J265" s="749"/>
      <c r="K265" s="754"/>
      <c r="L265" s="749"/>
      <c r="M265" s="749"/>
      <c r="N265" s="749"/>
      <c r="O265" s="749"/>
      <c r="P265" s="755"/>
      <c r="Q265" s="738"/>
      <c r="R265" s="738"/>
      <c r="S265" s="738"/>
      <c r="T265" s="697"/>
    </row>
    <row r="266" spans="1:20" hidden="1">
      <c r="A266" s="745" t="s">
        <v>407</v>
      </c>
      <c r="B266" s="746" t="s">
        <v>753</v>
      </c>
      <c r="C266" s="747">
        <f>'[2]总投资-发采购-0411-GLP拆分场外费用(司调)'!H283</f>
        <v>11707</v>
      </c>
      <c r="D266" s="748">
        <f>'[2]总投资-发采购-0411-GLP拆分场外费用(司调)'!G283</f>
        <v>386.1825</v>
      </c>
      <c r="E266" s="748">
        <f t="shared" si="24"/>
        <v>54.315400843881854</v>
      </c>
      <c r="F266" s="748">
        <f t="shared" si="25"/>
        <v>386.1825</v>
      </c>
      <c r="G266" s="748">
        <f t="shared" si="25"/>
        <v>54.315400843881854</v>
      </c>
      <c r="H266" s="749"/>
      <c r="I266" s="749"/>
      <c r="J266" s="749"/>
      <c r="K266" s="754"/>
      <c r="L266" s="749"/>
      <c r="M266" s="749"/>
      <c r="N266" s="749"/>
      <c r="O266" s="749"/>
      <c r="P266" s="755"/>
      <c r="Q266" s="738"/>
      <c r="R266" s="738"/>
      <c r="S266" s="738"/>
      <c r="T266" s="697"/>
    </row>
    <row r="267" spans="1:20" hidden="1">
      <c r="A267" s="745" t="s">
        <v>409</v>
      </c>
      <c r="B267" s="746" t="s">
        <v>754</v>
      </c>
      <c r="C267" s="747">
        <f>'[2]总投资-发采购-0411-GLP拆分场外费用(司调)'!H284</f>
        <v>11707</v>
      </c>
      <c r="D267" s="748">
        <f>'[2]总投资-发采购-0411-GLP拆分场外费用(司调)'!G284</f>
        <v>386.1825</v>
      </c>
      <c r="E267" s="748">
        <f t="shared" si="24"/>
        <v>54.315400843881854</v>
      </c>
      <c r="F267" s="748">
        <f t="shared" si="25"/>
        <v>386.1825</v>
      </c>
      <c r="G267" s="748">
        <f t="shared" si="25"/>
        <v>54.315400843881854</v>
      </c>
      <c r="H267" s="749"/>
      <c r="I267" s="749"/>
      <c r="J267" s="749"/>
      <c r="K267" s="754"/>
      <c r="L267" s="749"/>
      <c r="M267" s="749"/>
      <c r="N267" s="749"/>
      <c r="O267" s="749"/>
      <c r="P267" s="755"/>
      <c r="Q267" s="738"/>
      <c r="R267" s="738"/>
      <c r="S267" s="738"/>
      <c r="T267" s="697"/>
    </row>
    <row r="268" spans="1:20" hidden="1">
      <c r="A268" s="745" t="s">
        <v>411</v>
      </c>
      <c r="B268" s="746" t="s">
        <v>755</v>
      </c>
      <c r="C268" s="747">
        <f>'[2]总投资-发采购-0411-GLP拆分场外费用(司调)'!H285</f>
        <v>18327</v>
      </c>
      <c r="D268" s="748">
        <f>'[2]总投资-发采购-0411-GLP拆分场外费用(司调)'!G285</f>
        <v>604.76350000000002</v>
      </c>
      <c r="E268" s="748">
        <f t="shared" si="24"/>
        <v>85.058157524613222</v>
      </c>
      <c r="F268" s="748">
        <f t="shared" si="25"/>
        <v>604.76350000000002</v>
      </c>
      <c r="G268" s="748">
        <f t="shared" si="25"/>
        <v>85.058157524613222</v>
      </c>
      <c r="H268" s="749"/>
      <c r="I268" s="749"/>
      <c r="J268" s="749"/>
      <c r="K268" s="754"/>
      <c r="L268" s="749"/>
      <c r="M268" s="749"/>
      <c r="N268" s="749"/>
      <c r="O268" s="749"/>
      <c r="P268" s="755"/>
      <c r="Q268" s="738"/>
      <c r="R268" s="738"/>
      <c r="S268" s="738"/>
      <c r="T268" s="697"/>
    </row>
    <row r="269" spans="1:20" hidden="1">
      <c r="A269" s="745" t="s">
        <v>413</v>
      </c>
      <c r="B269" s="746" t="s">
        <v>756</v>
      </c>
      <c r="C269" s="747">
        <f>'[2]总投资-发采购-0411-GLP拆分场外费用(司调)'!H286</f>
        <v>11664</v>
      </c>
      <c r="D269" s="748">
        <f>'[2]总投资-发采购-0411-GLP拆分场外费用(司调)'!G286</f>
        <v>384.81849999999997</v>
      </c>
      <c r="E269" s="748">
        <f t="shared" si="24"/>
        <v>54.123558368495068</v>
      </c>
      <c r="F269" s="748">
        <f t="shared" si="25"/>
        <v>384.81849999999997</v>
      </c>
      <c r="G269" s="748">
        <f t="shared" si="25"/>
        <v>54.123558368495068</v>
      </c>
      <c r="H269" s="749"/>
      <c r="I269" s="749"/>
      <c r="J269" s="749"/>
      <c r="K269" s="754"/>
      <c r="L269" s="749"/>
      <c r="M269" s="749"/>
      <c r="N269" s="749"/>
      <c r="O269" s="749"/>
      <c r="P269" s="755"/>
      <c r="Q269" s="738"/>
      <c r="R269" s="738"/>
      <c r="S269" s="738"/>
      <c r="T269" s="697"/>
    </row>
    <row r="270" spans="1:20" hidden="1">
      <c r="A270" s="745" t="s">
        <v>415</v>
      </c>
      <c r="B270" s="746" t="s">
        <v>416</v>
      </c>
      <c r="C270" s="747">
        <f>'[2]总投资-发采购-0411-GLP拆分场外费用(司调)'!H275</f>
        <v>16128</v>
      </c>
      <c r="D270" s="748">
        <f>'[2]总投资-发采购-0411-GLP拆分场外费用(司调)'!G275</f>
        <v>532.13049999999998</v>
      </c>
      <c r="E270" s="748">
        <f t="shared" si="24"/>
        <v>74.842545710267217</v>
      </c>
      <c r="F270" s="748">
        <f t="shared" si="25"/>
        <v>532.13049999999998</v>
      </c>
      <c r="G270" s="748">
        <f t="shared" si="25"/>
        <v>74.842545710267217</v>
      </c>
      <c r="H270" s="749"/>
      <c r="I270" s="749"/>
      <c r="J270" s="749"/>
      <c r="K270" s="754"/>
      <c r="L270" s="749"/>
      <c r="M270" s="749"/>
      <c r="N270" s="749"/>
      <c r="O270" s="749"/>
      <c r="P270" s="755"/>
      <c r="Q270" s="738"/>
      <c r="R270" s="738"/>
      <c r="S270" s="738"/>
      <c r="T270" s="697"/>
    </row>
    <row r="271" spans="1:20" hidden="1">
      <c r="A271" s="745" t="s">
        <v>417</v>
      </c>
      <c r="B271" s="746" t="s">
        <v>418</v>
      </c>
      <c r="C271" s="747">
        <f>'[2]总投资-发采购-0411-GLP拆分场外费用(司调)'!H276</f>
        <v>18768</v>
      </c>
      <c r="D271" s="748">
        <f>'[2]总投资-发采购-0411-GLP拆分场外费用(司调)'!G276</f>
        <v>619.25599999999997</v>
      </c>
      <c r="E271" s="748">
        <f t="shared" si="24"/>
        <v>87.096483825597744</v>
      </c>
      <c r="F271" s="748">
        <f t="shared" si="25"/>
        <v>619.25599999999997</v>
      </c>
      <c r="G271" s="748">
        <f t="shared" si="25"/>
        <v>87.096483825597744</v>
      </c>
      <c r="H271" s="749"/>
      <c r="I271" s="749"/>
      <c r="J271" s="749"/>
      <c r="K271" s="754"/>
      <c r="L271" s="749"/>
      <c r="M271" s="749"/>
      <c r="N271" s="749"/>
      <c r="O271" s="749"/>
      <c r="P271" s="755"/>
      <c r="Q271" s="738"/>
      <c r="R271" s="738"/>
      <c r="S271" s="738"/>
      <c r="T271" s="697"/>
    </row>
    <row r="272" spans="1:20" hidden="1">
      <c r="A272" s="745" t="s">
        <v>419</v>
      </c>
      <c r="B272" s="746" t="s">
        <v>420</v>
      </c>
      <c r="C272" s="747">
        <f>'[2]总投资-发采购-0411-GLP拆分场外费用(司调)'!H277</f>
        <v>18768</v>
      </c>
      <c r="D272" s="748">
        <f>'[2]总投资-发采购-0411-GLP拆分场外费用(司调)'!G277</f>
        <v>619.25599999999997</v>
      </c>
      <c r="E272" s="748">
        <f t="shared" si="24"/>
        <v>87.096483825597744</v>
      </c>
      <c r="F272" s="748">
        <f t="shared" si="25"/>
        <v>619.25599999999997</v>
      </c>
      <c r="G272" s="748">
        <f t="shared" si="25"/>
        <v>87.096483825597744</v>
      </c>
      <c r="H272" s="749"/>
      <c r="I272" s="749"/>
      <c r="J272" s="749"/>
      <c r="K272" s="754"/>
      <c r="L272" s="749"/>
      <c r="M272" s="749"/>
      <c r="N272" s="749"/>
      <c r="O272" s="749"/>
      <c r="P272" s="755"/>
      <c r="Q272" s="738"/>
      <c r="R272" s="738"/>
      <c r="S272" s="738"/>
      <c r="T272" s="697"/>
    </row>
    <row r="273" spans="1:20" hidden="1">
      <c r="A273" s="745" t="s">
        <v>421</v>
      </c>
      <c r="B273" s="746" t="s">
        <v>422</v>
      </c>
      <c r="C273" s="747">
        <f>'[2]总投资-发采购-0411-GLP拆分场外费用(司调)'!H278</f>
        <v>17136</v>
      </c>
      <c r="D273" s="748">
        <f>'[2]总投资-发采购-0411-GLP拆分场外费用(司调)'!G278</f>
        <v>565.54849999999999</v>
      </c>
      <c r="E273" s="748">
        <f t="shared" si="24"/>
        <v>79.542686357243312</v>
      </c>
      <c r="F273" s="748">
        <f t="shared" si="25"/>
        <v>565.54849999999999</v>
      </c>
      <c r="G273" s="748">
        <f t="shared" si="25"/>
        <v>79.542686357243312</v>
      </c>
      <c r="H273" s="749"/>
      <c r="I273" s="749"/>
      <c r="J273" s="749"/>
      <c r="K273" s="754"/>
      <c r="L273" s="749"/>
      <c r="M273" s="749"/>
      <c r="N273" s="749"/>
      <c r="O273" s="749"/>
      <c r="P273" s="755"/>
      <c r="Q273" s="738"/>
      <c r="R273" s="738"/>
      <c r="S273" s="738"/>
      <c r="T273" s="697"/>
    </row>
    <row r="274" spans="1:20" ht="18" hidden="1" customHeight="1">
      <c r="A274" s="745" t="s">
        <v>423</v>
      </c>
      <c r="B274" s="746" t="s">
        <v>424</v>
      </c>
      <c r="C274" s="747">
        <f>'[2]总投资-发采购-0411-GLP拆分场外费用(司调)'!H279</f>
        <v>17136</v>
      </c>
      <c r="D274" s="748">
        <f>'[2]总投资-发采购-0411-GLP拆分场外费用(司调)'!G279</f>
        <v>565.54849999999999</v>
      </c>
      <c r="E274" s="748">
        <f t="shared" si="24"/>
        <v>79.542686357243312</v>
      </c>
      <c r="F274" s="748">
        <f t="shared" si="25"/>
        <v>565.54849999999999</v>
      </c>
      <c r="G274" s="748">
        <f t="shared" si="25"/>
        <v>79.542686357243312</v>
      </c>
      <c r="H274" s="749"/>
      <c r="I274" s="749"/>
      <c r="J274" s="749"/>
      <c r="K274" s="754"/>
      <c r="L274" s="749"/>
      <c r="M274" s="749"/>
      <c r="N274" s="749"/>
      <c r="O274" s="749"/>
      <c r="P274" s="755"/>
      <c r="Q274" s="738"/>
      <c r="R274" s="738"/>
      <c r="S274" s="738"/>
      <c r="T274" s="697"/>
    </row>
    <row r="275" spans="1:20" ht="42.75" customHeight="1">
      <c r="A275" s="606" t="s">
        <v>63</v>
      </c>
      <c r="B275" s="683" t="s">
        <v>757</v>
      </c>
      <c r="C275" s="683" t="s">
        <v>758</v>
      </c>
      <c r="D275" s="712">
        <f>SUM('[2]总投资-发采购-0411-GLP拆分场外费用(司调)'!G260:G274,'[2]总投资-发采购-0411-GLP拆分场外费用(司调)'!G280)</f>
        <v>6823.4099999999989</v>
      </c>
      <c r="E275" s="685">
        <f t="shared" si="24"/>
        <v>959.69198312236267</v>
      </c>
      <c r="F275" s="685">
        <f t="shared" si="19"/>
        <v>959.69198312236267</v>
      </c>
      <c r="G275" s="685">
        <f t="shared" si="23"/>
        <v>6823.4099999999989</v>
      </c>
      <c r="H275" s="780" t="s">
        <v>427</v>
      </c>
      <c r="I275" s="606" t="s">
        <v>30</v>
      </c>
      <c r="J275" s="715">
        <v>40</v>
      </c>
      <c r="K275" s="697" t="s">
        <v>134</v>
      </c>
      <c r="L275" s="606"/>
      <c r="M275" s="606"/>
      <c r="N275" s="606"/>
      <c r="O275" s="606"/>
      <c r="P275" s="738" t="s">
        <v>181</v>
      </c>
      <c r="Q275" s="738" t="s">
        <v>428</v>
      </c>
      <c r="R275" s="738" t="s">
        <v>517</v>
      </c>
      <c r="S275" s="738" t="s">
        <v>228</v>
      </c>
      <c r="T275" s="697"/>
    </row>
    <row r="276" spans="1:20" hidden="1">
      <c r="A276" s="686">
        <v>4.0999999999999996</v>
      </c>
      <c r="B276" s="687" t="s">
        <v>759</v>
      </c>
      <c r="C276" s="687" t="s">
        <v>431</v>
      </c>
      <c r="D276" s="689">
        <f>[2]总投资20240410!F327</f>
        <v>12236.96</v>
      </c>
      <c r="E276" s="685">
        <f t="shared" ref="E276:E308" si="26">D276/$A$3</f>
        <v>1721.0914205344584</v>
      </c>
      <c r="F276" s="685">
        <f t="shared" si="19"/>
        <v>1721.0914205344584</v>
      </c>
      <c r="G276" s="685">
        <f t="shared" si="23"/>
        <v>12236.96</v>
      </c>
      <c r="H276" s="700"/>
      <c r="I276" s="700"/>
      <c r="J276" s="700"/>
      <c r="K276" s="708"/>
      <c r="L276" s="700"/>
      <c r="M276" s="700"/>
      <c r="N276" s="700"/>
      <c r="O276" s="700"/>
      <c r="P276" s="701"/>
      <c r="Q276" s="701"/>
      <c r="R276" s="701"/>
      <c r="S276" s="701"/>
      <c r="T276" s="708"/>
    </row>
    <row r="277" spans="1:20" hidden="1">
      <c r="A277" s="686"/>
      <c r="B277" s="750" t="s">
        <v>760</v>
      </c>
      <c r="C277" s="750">
        <f>SUM(C278:C292)</f>
        <v>196714.11</v>
      </c>
      <c r="D277" s="720">
        <f>SUM(D278:D293)</f>
        <v>6823.414499999999</v>
      </c>
      <c r="E277" s="685">
        <f t="shared" si="26"/>
        <v>959.69261603375503</v>
      </c>
      <c r="F277" s="685">
        <f t="shared" si="19"/>
        <v>959.69261603375503</v>
      </c>
      <c r="G277" s="685">
        <f t="shared" si="23"/>
        <v>6823.414499999999</v>
      </c>
      <c r="H277" s="700"/>
      <c r="I277" s="700"/>
      <c r="J277" s="700"/>
      <c r="K277" s="708"/>
      <c r="L277" s="700"/>
      <c r="M277" s="700"/>
      <c r="N277" s="700"/>
      <c r="O277" s="700"/>
      <c r="P277" s="701"/>
      <c r="Q277" s="701"/>
      <c r="R277" s="701"/>
      <c r="S277" s="701"/>
      <c r="T277" s="708"/>
    </row>
    <row r="278" spans="1:20" hidden="1">
      <c r="A278" s="686" t="s">
        <v>433</v>
      </c>
      <c r="B278" s="687" t="s">
        <v>761</v>
      </c>
      <c r="C278" s="687">
        <v>5226.66</v>
      </c>
      <c r="D278" s="689">
        <f>'[2]总投资-发采购-0411-GLP拆分场外费用(司调)'!G260</f>
        <v>172.37549999999999</v>
      </c>
      <c r="E278" s="685">
        <f t="shared" si="26"/>
        <v>24.244092827004216</v>
      </c>
      <c r="F278" s="685">
        <f t="shared" si="19"/>
        <v>24.244092827004216</v>
      </c>
      <c r="G278" s="685">
        <f t="shared" si="23"/>
        <v>172.37549999999999</v>
      </c>
      <c r="H278" s="700"/>
      <c r="I278" s="700"/>
      <c r="J278" s="700"/>
      <c r="K278" s="708"/>
      <c r="L278" s="700"/>
      <c r="M278" s="700"/>
      <c r="N278" s="700"/>
      <c r="O278" s="700"/>
      <c r="P278" s="701"/>
      <c r="Q278" s="701"/>
      <c r="R278" s="701"/>
      <c r="S278" s="701"/>
      <c r="T278" s="708"/>
    </row>
    <row r="279" spans="1:20" hidden="1">
      <c r="A279" s="686" t="s">
        <v>435</v>
      </c>
      <c r="B279" s="687" t="s">
        <v>762</v>
      </c>
      <c r="C279" s="687">
        <v>4929.0200000000004</v>
      </c>
      <c r="D279" s="689">
        <f>'[2]总投资-发采购-0411-GLP拆分场外费用(司调)'!G261</f>
        <v>162.65700000000001</v>
      </c>
      <c r="E279" s="685">
        <f t="shared" si="26"/>
        <v>22.877215189873418</v>
      </c>
      <c r="F279" s="685">
        <f t="shared" si="19"/>
        <v>22.877215189873418</v>
      </c>
      <c r="G279" s="685">
        <f t="shared" si="23"/>
        <v>162.65700000000001</v>
      </c>
      <c r="H279" s="700"/>
      <c r="I279" s="700"/>
      <c r="J279" s="700"/>
      <c r="K279" s="708"/>
      <c r="L279" s="700"/>
      <c r="M279" s="700"/>
      <c r="N279" s="700"/>
      <c r="O279" s="700"/>
      <c r="P279" s="701"/>
      <c r="Q279" s="701"/>
      <c r="R279" s="701"/>
      <c r="S279" s="701"/>
      <c r="T279" s="708"/>
    </row>
    <row r="280" spans="1:20" hidden="1">
      <c r="A280" s="686" t="s">
        <v>437</v>
      </c>
      <c r="B280" s="687" t="s">
        <v>438</v>
      </c>
      <c r="C280" s="687">
        <v>13104</v>
      </c>
      <c r="D280" s="689">
        <f>'[2]总投资-发采购-0411-GLP拆分场外费用(司调)'!G262</f>
        <v>432.38799999999998</v>
      </c>
      <c r="E280" s="685">
        <f t="shared" si="26"/>
        <v>60.814064697608998</v>
      </c>
      <c r="F280" s="685">
        <f t="shared" si="19"/>
        <v>60.814064697608998</v>
      </c>
      <c r="G280" s="685">
        <f t="shared" si="23"/>
        <v>432.38799999999998</v>
      </c>
      <c r="H280" s="700"/>
      <c r="I280" s="700"/>
      <c r="J280" s="700"/>
      <c r="K280" s="708"/>
      <c r="L280" s="700"/>
      <c r="M280" s="700"/>
      <c r="N280" s="700"/>
      <c r="O280" s="700"/>
      <c r="P280" s="701"/>
      <c r="Q280" s="701"/>
      <c r="R280" s="701"/>
      <c r="S280" s="701"/>
      <c r="T280" s="708"/>
    </row>
    <row r="281" spans="1:20" hidden="1">
      <c r="A281" s="686" t="s">
        <v>439</v>
      </c>
      <c r="B281" s="687" t="s">
        <v>440</v>
      </c>
      <c r="C281" s="687">
        <v>13104</v>
      </c>
      <c r="D281" s="689">
        <f>'[2]总投资-发采购-0411-GLP拆分场外费用(司调)'!G263</f>
        <v>432.38799999999998</v>
      </c>
      <c r="E281" s="685">
        <f t="shared" si="26"/>
        <v>60.814064697608998</v>
      </c>
      <c r="F281" s="685">
        <f t="shared" si="19"/>
        <v>60.814064697608998</v>
      </c>
      <c r="G281" s="685">
        <f t="shared" si="23"/>
        <v>432.38799999999998</v>
      </c>
      <c r="H281" s="700"/>
      <c r="I281" s="700"/>
      <c r="J281" s="700"/>
      <c r="K281" s="708"/>
      <c r="L281" s="700"/>
      <c r="M281" s="700"/>
      <c r="N281" s="700"/>
      <c r="O281" s="700"/>
      <c r="P281" s="701"/>
      <c r="Q281" s="701"/>
      <c r="R281" s="701"/>
      <c r="S281" s="701"/>
      <c r="T281" s="708"/>
    </row>
    <row r="282" spans="1:20" hidden="1">
      <c r="A282" s="686" t="s">
        <v>441</v>
      </c>
      <c r="B282" s="687" t="s">
        <v>442</v>
      </c>
      <c r="C282" s="687">
        <v>13104</v>
      </c>
      <c r="D282" s="689">
        <f>'[2]总投资-发采购-0411-GLP拆分场外费用(司调)'!G264</f>
        <v>432.38799999999998</v>
      </c>
      <c r="E282" s="685">
        <f t="shared" si="26"/>
        <v>60.814064697608998</v>
      </c>
      <c r="F282" s="685">
        <f t="shared" si="19"/>
        <v>60.814064697608998</v>
      </c>
      <c r="G282" s="685">
        <f t="shared" si="23"/>
        <v>432.38799999999998</v>
      </c>
      <c r="H282" s="700"/>
      <c r="I282" s="700"/>
      <c r="J282" s="700"/>
      <c r="K282" s="708"/>
      <c r="L282" s="700"/>
      <c r="M282" s="700"/>
      <c r="N282" s="700"/>
      <c r="O282" s="700"/>
      <c r="P282" s="701"/>
      <c r="Q282" s="701"/>
      <c r="R282" s="701"/>
      <c r="S282" s="701"/>
      <c r="T282" s="708"/>
    </row>
    <row r="283" spans="1:20" hidden="1">
      <c r="A283" s="686" t="s">
        <v>443</v>
      </c>
      <c r="B283" s="687" t="s">
        <v>444</v>
      </c>
      <c r="C283" s="687">
        <v>13104</v>
      </c>
      <c r="D283" s="689">
        <f>'[2]总投资-发采购-0411-GLP拆分场外费用(司调)'!G265</f>
        <v>432.38799999999998</v>
      </c>
      <c r="E283" s="685">
        <f t="shared" si="26"/>
        <v>60.814064697608998</v>
      </c>
      <c r="F283" s="685">
        <f t="shared" si="19"/>
        <v>60.814064697608998</v>
      </c>
      <c r="G283" s="685">
        <f t="shared" si="23"/>
        <v>432.38799999999998</v>
      </c>
      <c r="H283" s="700"/>
      <c r="I283" s="700"/>
      <c r="J283" s="700"/>
      <c r="K283" s="708"/>
      <c r="L283" s="700"/>
      <c r="M283" s="700"/>
      <c r="N283" s="700"/>
      <c r="O283" s="700"/>
      <c r="P283" s="701"/>
      <c r="Q283" s="701"/>
      <c r="R283" s="701"/>
      <c r="S283" s="701"/>
      <c r="T283" s="708"/>
    </row>
    <row r="284" spans="1:20" hidden="1">
      <c r="A284" s="686" t="s">
        <v>445</v>
      </c>
      <c r="B284" s="687" t="s">
        <v>446</v>
      </c>
      <c r="C284" s="687">
        <v>13104</v>
      </c>
      <c r="D284" s="689">
        <f>'[2]总投资-发采购-0411-GLP拆分场外费用(司调)'!G266</f>
        <v>432.38799999999998</v>
      </c>
      <c r="E284" s="685">
        <f t="shared" si="26"/>
        <v>60.814064697608998</v>
      </c>
      <c r="F284" s="685">
        <f t="shared" si="19"/>
        <v>60.814064697608998</v>
      </c>
      <c r="G284" s="685">
        <f t="shared" si="23"/>
        <v>432.38799999999998</v>
      </c>
      <c r="H284" s="700"/>
      <c r="I284" s="700"/>
      <c r="J284" s="700"/>
      <c r="K284" s="708"/>
      <c r="L284" s="700"/>
      <c r="M284" s="700"/>
      <c r="N284" s="700"/>
      <c r="O284" s="700"/>
      <c r="P284" s="701"/>
      <c r="Q284" s="701"/>
      <c r="R284" s="701"/>
      <c r="S284" s="701"/>
      <c r="T284" s="708"/>
    </row>
    <row r="285" spans="1:20" hidden="1">
      <c r="A285" s="686" t="s">
        <v>447</v>
      </c>
      <c r="B285" s="687" t="s">
        <v>448</v>
      </c>
      <c r="C285" s="687">
        <v>15120</v>
      </c>
      <c r="D285" s="689">
        <f>'[2]总投资-发采购-0411-GLP拆分场外费用(司调)'!G267</f>
        <v>498.88299999999998</v>
      </c>
      <c r="E285" s="685">
        <f t="shared" si="26"/>
        <v>70.166385372714487</v>
      </c>
      <c r="F285" s="685">
        <f t="shared" si="19"/>
        <v>70.166385372714487</v>
      </c>
      <c r="G285" s="685">
        <f t="shared" si="23"/>
        <v>498.88299999999998</v>
      </c>
      <c r="H285" s="700"/>
      <c r="I285" s="700"/>
      <c r="J285" s="700"/>
      <c r="K285" s="708"/>
      <c r="L285" s="700"/>
      <c r="M285" s="700"/>
      <c r="N285" s="700"/>
      <c r="O285" s="700"/>
      <c r="P285" s="701"/>
      <c r="Q285" s="701"/>
      <c r="R285" s="701"/>
      <c r="S285" s="701"/>
      <c r="T285" s="708"/>
    </row>
    <row r="286" spans="1:20" hidden="1">
      <c r="A286" s="686" t="s">
        <v>449</v>
      </c>
      <c r="B286" s="687" t="s">
        <v>450</v>
      </c>
      <c r="C286" s="687">
        <v>15120</v>
      </c>
      <c r="D286" s="689">
        <f>'[2]总投资-发采购-0411-GLP拆分场外费用(司调)'!G268</f>
        <v>498.88299999999998</v>
      </c>
      <c r="E286" s="685">
        <f t="shared" si="26"/>
        <v>70.166385372714487</v>
      </c>
      <c r="F286" s="685">
        <f t="shared" si="19"/>
        <v>70.166385372714487</v>
      </c>
      <c r="G286" s="685">
        <f t="shared" si="23"/>
        <v>498.88299999999998</v>
      </c>
      <c r="H286" s="700"/>
      <c r="I286" s="700"/>
      <c r="J286" s="700"/>
      <c r="K286" s="708"/>
      <c r="L286" s="700"/>
      <c r="M286" s="700"/>
      <c r="N286" s="700"/>
      <c r="O286" s="700"/>
      <c r="P286" s="701"/>
      <c r="Q286" s="701"/>
      <c r="R286" s="701"/>
      <c r="S286" s="701"/>
      <c r="T286" s="708"/>
    </row>
    <row r="287" spans="1:20" hidden="1">
      <c r="A287" s="686" t="s">
        <v>451</v>
      </c>
      <c r="B287" s="687" t="s">
        <v>452</v>
      </c>
      <c r="C287" s="687">
        <v>15120</v>
      </c>
      <c r="D287" s="689">
        <f>'[2]总投资-发采购-0411-GLP拆分场外费用(司调)'!G269</f>
        <v>498.88299999999998</v>
      </c>
      <c r="E287" s="685">
        <f t="shared" si="26"/>
        <v>70.166385372714487</v>
      </c>
      <c r="F287" s="685">
        <f t="shared" si="19"/>
        <v>70.166385372714487</v>
      </c>
      <c r="G287" s="685">
        <f t="shared" si="23"/>
        <v>498.88299999999998</v>
      </c>
      <c r="H287" s="700"/>
      <c r="I287" s="700"/>
      <c r="J287" s="700"/>
      <c r="K287" s="708"/>
      <c r="L287" s="700"/>
      <c r="M287" s="700"/>
      <c r="N287" s="700"/>
      <c r="O287" s="700"/>
      <c r="P287" s="701"/>
      <c r="Q287" s="701"/>
      <c r="R287" s="701"/>
      <c r="S287" s="701"/>
      <c r="T287" s="708"/>
    </row>
    <row r="288" spans="1:20" hidden="1">
      <c r="A288" s="686" t="s">
        <v>453</v>
      </c>
      <c r="B288" s="687" t="s">
        <v>454</v>
      </c>
      <c r="C288" s="687">
        <v>15120</v>
      </c>
      <c r="D288" s="689">
        <f>'[2]总投资-发采购-0411-GLP拆分场外费用(司调)'!G270</f>
        <v>498.88299999999998</v>
      </c>
      <c r="E288" s="685">
        <f t="shared" si="26"/>
        <v>70.166385372714487</v>
      </c>
      <c r="F288" s="685">
        <f t="shared" si="19"/>
        <v>70.166385372714487</v>
      </c>
      <c r="G288" s="685">
        <f t="shared" si="23"/>
        <v>498.88299999999998</v>
      </c>
      <c r="H288" s="700"/>
      <c r="I288" s="700"/>
      <c r="J288" s="700"/>
      <c r="K288" s="708"/>
      <c r="L288" s="700"/>
      <c r="M288" s="700"/>
      <c r="N288" s="700"/>
      <c r="O288" s="700"/>
      <c r="P288" s="701"/>
      <c r="Q288" s="701"/>
      <c r="R288" s="701"/>
      <c r="S288" s="701"/>
      <c r="T288" s="708"/>
    </row>
    <row r="289" spans="1:20" hidden="1">
      <c r="A289" s="686" t="s">
        <v>455</v>
      </c>
      <c r="B289" s="687" t="s">
        <v>456</v>
      </c>
      <c r="C289" s="687">
        <v>10800</v>
      </c>
      <c r="D289" s="689">
        <f>'[2]总投资-发采购-0411-GLP拆分场外费用(司调)'!G271</f>
        <v>356.34500000000003</v>
      </c>
      <c r="E289" s="685">
        <f t="shared" si="26"/>
        <v>50.118846694796062</v>
      </c>
      <c r="F289" s="685">
        <f t="shared" si="19"/>
        <v>50.118846694796062</v>
      </c>
      <c r="G289" s="685">
        <f t="shared" si="23"/>
        <v>356.34500000000003</v>
      </c>
      <c r="H289" s="700"/>
      <c r="I289" s="700"/>
      <c r="J289" s="700"/>
      <c r="K289" s="708"/>
      <c r="L289" s="700"/>
      <c r="M289" s="700"/>
      <c r="N289" s="700"/>
      <c r="O289" s="700"/>
      <c r="P289" s="701"/>
      <c r="Q289" s="701"/>
      <c r="R289" s="701"/>
      <c r="S289" s="701"/>
      <c r="T289" s="708"/>
    </row>
    <row r="290" spans="1:20" hidden="1">
      <c r="A290" s="686" t="s">
        <v>457</v>
      </c>
      <c r="B290" s="687" t="s">
        <v>458</v>
      </c>
      <c r="C290" s="687">
        <v>9360</v>
      </c>
      <c r="D290" s="689">
        <f>'[2]总投资-发采购-0411-GLP拆分场外费用(司调)'!G272</f>
        <v>308.77550000000002</v>
      </c>
      <c r="E290" s="685">
        <f t="shared" si="26"/>
        <v>43.428340365682139</v>
      </c>
      <c r="F290" s="685">
        <f t="shared" si="19"/>
        <v>43.428340365682139</v>
      </c>
      <c r="G290" s="685">
        <f t="shared" si="23"/>
        <v>308.77550000000002</v>
      </c>
      <c r="H290" s="700"/>
      <c r="I290" s="700"/>
      <c r="J290" s="700"/>
      <c r="K290" s="708"/>
      <c r="L290" s="700"/>
      <c r="M290" s="700"/>
      <c r="N290" s="700"/>
      <c r="O290" s="700"/>
      <c r="P290" s="701"/>
      <c r="Q290" s="701"/>
      <c r="R290" s="701"/>
      <c r="S290" s="701"/>
      <c r="T290" s="708"/>
    </row>
    <row r="291" spans="1:20" hidden="1">
      <c r="A291" s="686" t="s">
        <v>459</v>
      </c>
      <c r="B291" s="687" t="s">
        <v>460</v>
      </c>
      <c r="C291" s="687">
        <v>17136</v>
      </c>
      <c r="D291" s="689">
        <f>'[2]总投资-发采购-0411-GLP拆分场外费用(司调)'!G273</f>
        <v>565.54849999999999</v>
      </c>
      <c r="E291" s="685">
        <f t="shared" si="26"/>
        <v>79.542686357243312</v>
      </c>
      <c r="F291" s="685">
        <f t="shared" si="19"/>
        <v>79.542686357243312</v>
      </c>
      <c r="G291" s="685">
        <f t="shared" si="23"/>
        <v>565.54849999999999</v>
      </c>
      <c r="H291" s="700"/>
      <c r="I291" s="700"/>
      <c r="J291" s="700"/>
      <c r="K291" s="708"/>
      <c r="L291" s="700"/>
      <c r="M291" s="700"/>
      <c r="N291" s="700"/>
      <c r="O291" s="700"/>
      <c r="P291" s="701"/>
      <c r="Q291" s="701"/>
      <c r="R291" s="701"/>
      <c r="S291" s="701"/>
      <c r="T291" s="708"/>
    </row>
    <row r="292" spans="1:20" hidden="1">
      <c r="A292" s="686" t="s">
        <v>461</v>
      </c>
      <c r="B292" s="687" t="s">
        <v>462</v>
      </c>
      <c r="C292" s="687">
        <v>23262.43</v>
      </c>
      <c r="D292" s="689">
        <f>'[2]总投资-发采购-0411-GLP拆分场外费用(司调)'!G274</f>
        <v>767.59100000000001</v>
      </c>
      <c r="E292" s="685">
        <f t="shared" si="26"/>
        <v>107.95935302390998</v>
      </c>
      <c r="F292" s="685">
        <f t="shared" si="19"/>
        <v>107.95935302390998</v>
      </c>
      <c r="G292" s="685">
        <f t="shared" si="23"/>
        <v>767.59100000000001</v>
      </c>
      <c r="H292" s="700"/>
      <c r="I292" s="700"/>
      <c r="J292" s="700"/>
      <c r="K292" s="708"/>
      <c r="L292" s="700"/>
      <c r="M292" s="700"/>
      <c r="N292" s="700"/>
      <c r="O292" s="700"/>
      <c r="P292" s="701"/>
      <c r="Q292" s="701"/>
      <c r="R292" s="701"/>
      <c r="S292" s="701"/>
      <c r="T292" s="708"/>
    </row>
    <row r="293" spans="1:20" hidden="1">
      <c r="A293" s="686" t="s">
        <v>463</v>
      </c>
      <c r="B293" s="687" t="s">
        <v>763</v>
      </c>
      <c r="C293" s="687">
        <v>10080</v>
      </c>
      <c r="D293" s="689">
        <v>332.65</v>
      </c>
      <c r="E293" s="685">
        <f t="shared" si="26"/>
        <v>46.786216596343174</v>
      </c>
      <c r="F293" s="685">
        <f t="shared" si="19"/>
        <v>46.786216596343174</v>
      </c>
      <c r="G293" s="685">
        <f t="shared" si="23"/>
        <v>332.65</v>
      </c>
      <c r="H293" s="700"/>
      <c r="I293" s="700"/>
      <c r="J293" s="700"/>
      <c r="K293" s="708"/>
      <c r="L293" s="700"/>
      <c r="M293" s="700"/>
      <c r="N293" s="700"/>
      <c r="O293" s="700"/>
      <c r="P293" s="701"/>
      <c r="Q293" s="701"/>
      <c r="R293" s="701"/>
      <c r="S293" s="701"/>
      <c r="T293" s="708"/>
    </row>
    <row r="294" spans="1:20" hidden="1">
      <c r="A294" s="686"/>
      <c r="B294" s="750" t="s">
        <v>764</v>
      </c>
      <c r="C294" s="750">
        <f>SUM(C295:C299)</f>
        <v>87936</v>
      </c>
      <c r="D294" s="720">
        <f>SUM(D295:D299)</f>
        <v>2901.75</v>
      </c>
      <c r="E294" s="685">
        <f t="shared" si="26"/>
        <v>408.1223628691983</v>
      </c>
      <c r="F294" s="685">
        <f t="shared" si="19"/>
        <v>408.1223628691983</v>
      </c>
      <c r="G294" s="685">
        <f t="shared" si="23"/>
        <v>2901.75</v>
      </c>
      <c r="H294" s="700"/>
      <c r="I294" s="700"/>
      <c r="J294" s="700"/>
      <c r="K294" s="708"/>
      <c r="L294" s="700"/>
      <c r="M294" s="700"/>
      <c r="N294" s="700"/>
      <c r="O294" s="700"/>
      <c r="P294" s="701"/>
      <c r="Q294" s="701"/>
      <c r="R294" s="701"/>
      <c r="S294" s="701"/>
      <c r="T294" s="708"/>
    </row>
    <row r="295" spans="1:20" hidden="1">
      <c r="A295" s="686" t="s">
        <v>415</v>
      </c>
      <c r="B295" s="687" t="s">
        <v>765</v>
      </c>
      <c r="C295" s="687">
        <v>16128</v>
      </c>
      <c r="D295" s="689">
        <v>532.13</v>
      </c>
      <c r="E295" s="685">
        <f t="shared" si="26"/>
        <v>74.842475386779185</v>
      </c>
      <c r="F295" s="685">
        <f t="shared" si="19"/>
        <v>74.842475386779185</v>
      </c>
      <c r="G295" s="685">
        <f t="shared" si="23"/>
        <v>532.13</v>
      </c>
      <c r="H295" s="700"/>
      <c r="I295" s="700"/>
      <c r="J295" s="700"/>
      <c r="K295" s="708"/>
      <c r="L295" s="700"/>
      <c r="M295" s="700"/>
      <c r="N295" s="700"/>
      <c r="O295" s="700"/>
      <c r="P295" s="701"/>
      <c r="Q295" s="701"/>
      <c r="R295" s="701"/>
      <c r="S295" s="701"/>
      <c r="T295" s="708"/>
    </row>
    <row r="296" spans="1:20" hidden="1">
      <c r="A296" s="686" t="s">
        <v>417</v>
      </c>
      <c r="B296" s="687" t="s">
        <v>766</v>
      </c>
      <c r="C296" s="687">
        <v>18768</v>
      </c>
      <c r="D296" s="689">
        <v>619.26</v>
      </c>
      <c r="E296" s="685">
        <f t="shared" si="26"/>
        <v>87.097046413502099</v>
      </c>
      <c r="F296" s="685">
        <f t="shared" si="19"/>
        <v>87.097046413502099</v>
      </c>
      <c r="G296" s="685">
        <f t="shared" si="23"/>
        <v>619.26</v>
      </c>
      <c r="H296" s="700"/>
      <c r="I296" s="700"/>
      <c r="J296" s="700"/>
      <c r="K296" s="708"/>
      <c r="L296" s="700"/>
      <c r="M296" s="700"/>
      <c r="N296" s="700"/>
      <c r="O296" s="700"/>
      <c r="P296" s="701"/>
      <c r="Q296" s="701"/>
      <c r="R296" s="701"/>
      <c r="S296" s="701"/>
      <c r="T296" s="708"/>
    </row>
    <row r="297" spans="1:20" hidden="1">
      <c r="A297" s="686" t="s">
        <v>419</v>
      </c>
      <c r="B297" s="687" t="s">
        <v>767</v>
      </c>
      <c r="C297" s="687">
        <v>18768</v>
      </c>
      <c r="D297" s="689">
        <v>619.26</v>
      </c>
      <c r="E297" s="685">
        <f t="shared" si="26"/>
        <v>87.097046413502099</v>
      </c>
      <c r="F297" s="685">
        <f t="shared" si="19"/>
        <v>87.097046413502099</v>
      </c>
      <c r="G297" s="685">
        <f t="shared" si="23"/>
        <v>619.26</v>
      </c>
      <c r="H297" s="700"/>
      <c r="I297" s="700"/>
      <c r="J297" s="700"/>
      <c r="K297" s="708"/>
      <c r="L297" s="700"/>
      <c r="M297" s="700"/>
      <c r="N297" s="700"/>
      <c r="O297" s="700"/>
      <c r="P297" s="701"/>
      <c r="Q297" s="701"/>
      <c r="R297" s="701"/>
      <c r="S297" s="701"/>
      <c r="T297" s="708"/>
    </row>
    <row r="298" spans="1:20" hidden="1">
      <c r="A298" s="686" t="s">
        <v>421</v>
      </c>
      <c r="B298" s="687" t="s">
        <v>768</v>
      </c>
      <c r="C298" s="687">
        <v>17136</v>
      </c>
      <c r="D298" s="689">
        <v>565.54999999999995</v>
      </c>
      <c r="E298" s="685">
        <f t="shared" si="26"/>
        <v>79.54289732770745</v>
      </c>
      <c r="F298" s="685">
        <f t="shared" si="19"/>
        <v>79.54289732770745</v>
      </c>
      <c r="G298" s="685">
        <f t="shared" si="23"/>
        <v>565.54999999999995</v>
      </c>
      <c r="H298" s="700"/>
      <c r="I298" s="700"/>
      <c r="J298" s="700"/>
      <c r="K298" s="708"/>
      <c r="L298" s="700"/>
      <c r="M298" s="700"/>
      <c r="N298" s="700"/>
      <c r="O298" s="700"/>
      <c r="P298" s="701"/>
      <c r="Q298" s="701"/>
      <c r="R298" s="701"/>
      <c r="S298" s="701"/>
      <c r="T298" s="708"/>
    </row>
    <row r="299" spans="1:20" hidden="1">
      <c r="A299" s="686" t="s">
        <v>423</v>
      </c>
      <c r="B299" s="687" t="s">
        <v>769</v>
      </c>
      <c r="C299" s="687">
        <v>17136</v>
      </c>
      <c r="D299" s="689">
        <v>565.54999999999995</v>
      </c>
      <c r="E299" s="685">
        <f t="shared" si="26"/>
        <v>79.54289732770745</v>
      </c>
      <c r="F299" s="685">
        <f t="shared" si="19"/>
        <v>79.54289732770745</v>
      </c>
      <c r="G299" s="685">
        <f t="shared" si="23"/>
        <v>565.54999999999995</v>
      </c>
      <c r="H299" s="700"/>
      <c r="I299" s="700"/>
      <c r="J299" s="700"/>
      <c r="K299" s="708"/>
      <c r="L299" s="700"/>
      <c r="M299" s="700"/>
      <c r="N299" s="700"/>
      <c r="O299" s="700"/>
      <c r="P299" s="701"/>
      <c r="Q299" s="701"/>
      <c r="R299" s="701"/>
      <c r="S299" s="701"/>
      <c r="T299" s="708"/>
    </row>
    <row r="300" spans="1:20" hidden="1">
      <c r="A300" s="686"/>
      <c r="B300" s="750" t="s">
        <v>770</v>
      </c>
      <c r="C300" s="750">
        <f ca="1">SUM(C293:C306)</f>
        <v>86214</v>
      </c>
      <c r="D300" s="720">
        <f ca="1">SUM(D293:D306)</f>
        <v>2844.45</v>
      </c>
      <c r="E300" s="685">
        <f t="shared" ca="1" si="26"/>
        <v>961.49055194667903</v>
      </c>
      <c r="F300" s="685">
        <f t="shared" ca="1" si="19"/>
        <v>961.49055194667903</v>
      </c>
      <c r="G300" s="685">
        <f t="shared" ca="1" si="23"/>
        <v>6823.41</v>
      </c>
      <c r="H300" s="700"/>
      <c r="I300" s="700"/>
      <c r="J300" s="700"/>
      <c r="K300" s="708"/>
      <c r="L300" s="700"/>
      <c r="M300" s="700"/>
      <c r="N300" s="700"/>
      <c r="O300" s="700"/>
      <c r="P300" s="701"/>
      <c r="Q300" s="701"/>
      <c r="R300" s="701"/>
      <c r="S300" s="701"/>
      <c r="T300" s="708"/>
    </row>
    <row r="301" spans="1:20" ht="26.4" hidden="1">
      <c r="A301" s="686" t="s">
        <v>403</v>
      </c>
      <c r="B301" s="687" t="s">
        <v>771</v>
      </c>
      <c r="C301" s="687">
        <v>11022</v>
      </c>
      <c r="D301" s="689">
        <v>363.68</v>
      </c>
      <c r="E301" s="685">
        <f t="shared" si="26"/>
        <v>51.150492264416314</v>
      </c>
      <c r="F301" s="685">
        <f t="shared" si="19"/>
        <v>51.150492264416314</v>
      </c>
      <c r="G301" s="685">
        <f t="shared" si="23"/>
        <v>363.68</v>
      </c>
      <c r="H301" s="700"/>
      <c r="I301" s="700"/>
      <c r="J301" s="700"/>
      <c r="K301" s="708"/>
      <c r="L301" s="700"/>
      <c r="M301" s="700"/>
      <c r="N301" s="700"/>
      <c r="O301" s="700"/>
      <c r="P301" s="701"/>
      <c r="Q301" s="701"/>
      <c r="R301" s="701"/>
      <c r="S301" s="701"/>
      <c r="T301" s="708"/>
    </row>
    <row r="302" spans="1:20" hidden="1">
      <c r="A302" s="686" t="s">
        <v>405</v>
      </c>
      <c r="B302" s="687" t="s">
        <v>752</v>
      </c>
      <c r="C302" s="687">
        <v>11707</v>
      </c>
      <c r="D302" s="689">
        <v>386.18</v>
      </c>
      <c r="E302" s="685">
        <f t="shared" si="26"/>
        <v>54.31504922644163</v>
      </c>
      <c r="F302" s="685">
        <f t="shared" si="19"/>
        <v>54.31504922644163</v>
      </c>
      <c r="G302" s="685">
        <f t="shared" si="23"/>
        <v>386.18</v>
      </c>
      <c r="H302" s="700"/>
      <c r="I302" s="700"/>
      <c r="J302" s="700"/>
      <c r="K302" s="708"/>
      <c r="L302" s="700"/>
      <c r="M302" s="700"/>
      <c r="N302" s="700"/>
      <c r="O302" s="700"/>
      <c r="P302" s="701"/>
      <c r="Q302" s="701"/>
      <c r="R302" s="701"/>
      <c r="S302" s="701"/>
      <c r="T302" s="708"/>
    </row>
    <row r="303" spans="1:20" hidden="1">
      <c r="A303" s="686" t="s">
        <v>407</v>
      </c>
      <c r="B303" s="687" t="s">
        <v>753</v>
      </c>
      <c r="C303" s="687">
        <v>11707</v>
      </c>
      <c r="D303" s="689">
        <v>386.18</v>
      </c>
      <c r="E303" s="685">
        <f t="shared" si="26"/>
        <v>54.31504922644163</v>
      </c>
      <c r="F303" s="685">
        <f t="shared" si="19"/>
        <v>54.31504922644163</v>
      </c>
      <c r="G303" s="685">
        <f t="shared" si="23"/>
        <v>386.18</v>
      </c>
      <c r="H303" s="700"/>
      <c r="I303" s="700"/>
      <c r="J303" s="700"/>
      <c r="K303" s="708"/>
      <c r="L303" s="700"/>
      <c r="M303" s="700"/>
      <c r="N303" s="700"/>
      <c r="O303" s="700"/>
      <c r="P303" s="701"/>
      <c r="Q303" s="701"/>
      <c r="R303" s="701"/>
      <c r="S303" s="701"/>
      <c r="T303" s="708"/>
    </row>
    <row r="304" spans="1:20" hidden="1">
      <c r="A304" s="686" t="s">
        <v>409</v>
      </c>
      <c r="B304" s="687" t="s">
        <v>754</v>
      </c>
      <c r="C304" s="687">
        <v>11707</v>
      </c>
      <c r="D304" s="689">
        <v>386.18</v>
      </c>
      <c r="E304" s="685">
        <f t="shared" si="26"/>
        <v>54.31504922644163</v>
      </c>
      <c r="F304" s="685">
        <f t="shared" si="19"/>
        <v>54.31504922644163</v>
      </c>
      <c r="G304" s="685">
        <f t="shared" si="23"/>
        <v>386.18</v>
      </c>
      <c r="H304" s="700"/>
      <c r="I304" s="700"/>
      <c r="J304" s="700"/>
      <c r="K304" s="708"/>
      <c r="L304" s="700"/>
      <c r="M304" s="700"/>
      <c r="N304" s="700"/>
      <c r="O304" s="700"/>
      <c r="P304" s="701"/>
      <c r="Q304" s="701"/>
      <c r="R304" s="701"/>
      <c r="S304" s="701"/>
      <c r="T304" s="708"/>
    </row>
    <row r="305" spans="1:20" hidden="1">
      <c r="A305" s="686" t="s">
        <v>411</v>
      </c>
      <c r="B305" s="687" t="s">
        <v>755</v>
      </c>
      <c r="C305" s="687">
        <v>18327</v>
      </c>
      <c r="D305" s="689">
        <v>604.76</v>
      </c>
      <c r="E305" s="685">
        <f t="shared" si="26"/>
        <v>85.057665260196899</v>
      </c>
      <c r="F305" s="685">
        <f t="shared" si="19"/>
        <v>85.057665260196899</v>
      </c>
      <c r="G305" s="685">
        <f t="shared" si="23"/>
        <v>604.76</v>
      </c>
      <c r="H305" s="700"/>
      <c r="I305" s="700"/>
      <c r="J305" s="700"/>
      <c r="K305" s="708"/>
      <c r="L305" s="700"/>
      <c r="M305" s="700"/>
      <c r="N305" s="700"/>
      <c r="O305" s="700"/>
      <c r="P305" s="701"/>
      <c r="Q305" s="701"/>
      <c r="R305" s="701"/>
      <c r="S305" s="701"/>
      <c r="T305" s="708"/>
    </row>
    <row r="306" spans="1:20" hidden="1">
      <c r="A306" s="686" t="s">
        <v>413</v>
      </c>
      <c r="B306" s="687" t="s">
        <v>755</v>
      </c>
      <c r="C306" s="687">
        <v>11664</v>
      </c>
      <c r="D306" s="689">
        <v>384.82</v>
      </c>
      <c r="E306" s="685">
        <f t="shared" si="26"/>
        <v>54.123769338959207</v>
      </c>
      <c r="F306" s="685">
        <f t="shared" si="19"/>
        <v>54.123769338959207</v>
      </c>
      <c r="G306" s="685">
        <f t="shared" si="23"/>
        <v>384.82</v>
      </c>
      <c r="H306" s="700"/>
      <c r="I306" s="700"/>
      <c r="J306" s="700"/>
      <c r="K306" s="708"/>
      <c r="L306" s="700"/>
      <c r="M306" s="700"/>
      <c r="N306" s="700"/>
      <c r="O306" s="700"/>
      <c r="P306" s="701"/>
      <c r="Q306" s="701"/>
      <c r="R306" s="701"/>
      <c r="S306" s="701"/>
      <c r="T306" s="708"/>
    </row>
    <row r="307" spans="1:20">
      <c r="A307" s="606" t="s">
        <v>66</v>
      </c>
      <c r="B307" s="782" t="s">
        <v>473</v>
      </c>
      <c r="C307" s="782" t="s">
        <v>772</v>
      </c>
      <c r="D307" s="712">
        <f>'[2]总投资-发采购-0411-GLP拆分场外费用(司调)'!G251</f>
        <v>3364</v>
      </c>
      <c r="E307" s="712">
        <f t="shared" si="26"/>
        <v>473.1364275668073</v>
      </c>
      <c r="F307" s="712">
        <f t="shared" si="19"/>
        <v>473.1364275668073</v>
      </c>
      <c r="G307" s="712">
        <f t="shared" si="23"/>
        <v>3364</v>
      </c>
      <c r="H307" s="780" t="s">
        <v>427</v>
      </c>
      <c r="I307" s="606" t="s">
        <v>30</v>
      </c>
      <c r="J307" s="606">
        <v>40</v>
      </c>
      <c r="K307" s="697" t="s">
        <v>134</v>
      </c>
      <c r="L307" s="606"/>
      <c r="M307" s="606"/>
      <c r="N307" s="606"/>
      <c r="O307" s="606"/>
      <c r="P307" s="738" t="s">
        <v>181</v>
      </c>
      <c r="Q307" s="738" t="s">
        <v>428</v>
      </c>
      <c r="R307" s="738" t="s">
        <v>517</v>
      </c>
      <c r="S307" s="738" t="s">
        <v>228</v>
      </c>
      <c r="T307" s="697"/>
    </row>
    <row r="308" spans="1:20">
      <c r="A308" s="606" t="s">
        <v>69</v>
      </c>
      <c r="B308" s="776" t="s">
        <v>476</v>
      </c>
      <c r="C308" s="683" t="s">
        <v>773</v>
      </c>
      <c r="D308" s="712">
        <f>'[2]总投资-发采购-0411-GLP拆分场外费用(司调)'!G287</f>
        <v>4000</v>
      </c>
      <c r="E308" s="685">
        <f t="shared" si="26"/>
        <v>562.5879043600562</v>
      </c>
      <c r="F308" s="685">
        <f t="shared" si="19"/>
        <v>562.5879043600562</v>
      </c>
      <c r="G308" s="685">
        <f t="shared" si="23"/>
        <v>4000</v>
      </c>
      <c r="H308" s="780" t="s">
        <v>427</v>
      </c>
      <c r="I308" s="606" t="s">
        <v>30</v>
      </c>
      <c r="J308" s="606">
        <v>40</v>
      </c>
      <c r="K308" s="781" t="s">
        <v>336</v>
      </c>
      <c r="L308" s="606"/>
      <c r="M308" s="606"/>
      <c r="N308" s="606"/>
      <c r="O308" s="606"/>
      <c r="P308" s="738" t="s">
        <v>181</v>
      </c>
      <c r="Q308" s="738" t="s">
        <v>428</v>
      </c>
      <c r="R308" s="738" t="s">
        <v>517</v>
      </c>
      <c r="S308" s="738" t="s">
        <v>228</v>
      </c>
      <c r="T308" s="697"/>
    </row>
    <row r="309" spans="1:20" hidden="1">
      <c r="A309" s="751"/>
      <c r="B309" s="687">
        <v>4.2</v>
      </c>
      <c r="C309" s="687" t="s">
        <v>774</v>
      </c>
      <c r="D309" s="689">
        <f>[2]总投资20240410!F355</f>
        <v>4000</v>
      </c>
      <c r="E309" s="752"/>
      <c r="F309" s="752"/>
      <c r="G309" s="752">
        <f t="shared" si="23"/>
        <v>4000</v>
      </c>
      <c r="H309" s="700"/>
      <c r="I309" s="606"/>
      <c r="J309" s="715"/>
      <c r="K309" s="697"/>
      <c r="L309" s="606"/>
      <c r="M309" s="606"/>
      <c r="N309" s="606"/>
      <c r="O309" s="606"/>
      <c r="P309" s="738"/>
      <c r="Q309" s="738"/>
      <c r="R309" s="738"/>
      <c r="S309" s="738"/>
      <c r="T309" s="697"/>
    </row>
    <row r="310" spans="1:20" ht="57" customHeight="1">
      <c r="A310" s="606" t="s">
        <v>72</v>
      </c>
      <c r="B310" s="776" t="s">
        <v>479</v>
      </c>
      <c r="C310" s="776" t="s">
        <v>775</v>
      </c>
      <c r="D310" s="712">
        <f>'[2]总投资-发采购-0411-GLP拆分场外费用(司调)'!G288</f>
        <v>18818.98</v>
      </c>
      <c r="E310" s="685">
        <f>D310/$A$3</f>
        <v>2646.8326300984527</v>
      </c>
      <c r="F310" s="685">
        <f t="shared" ref="F310:F311" si="27">E310</f>
        <v>2646.8326300984527</v>
      </c>
      <c r="G310" s="685">
        <f t="shared" si="23"/>
        <v>18818.98</v>
      </c>
      <c r="H310" s="606" t="s">
        <v>400</v>
      </c>
      <c r="I310" s="606" t="s">
        <v>658</v>
      </c>
      <c r="J310" s="715">
        <v>40</v>
      </c>
      <c r="K310" s="781" t="s">
        <v>180</v>
      </c>
      <c r="L310" s="606" t="s">
        <v>135</v>
      </c>
      <c r="M310" s="606"/>
      <c r="N310" s="606"/>
      <c r="O310" s="606"/>
      <c r="P310" s="738" t="s">
        <v>181</v>
      </c>
      <c r="Q310" s="738" t="s">
        <v>428</v>
      </c>
      <c r="R310" s="738" t="s">
        <v>517</v>
      </c>
      <c r="S310" s="738" t="s">
        <v>228</v>
      </c>
      <c r="T310" s="697"/>
    </row>
    <row r="311" spans="1:20" hidden="1">
      <c r="A311" s="753">
        <v>4.3</v>
      </c>
      <c r="B311" s="690" t="s">
        <v>479</v>
      </c>
      <c r="C311" s="690"/>
      <c r="D311" s="689">
        <f>'[2]总投资-发采购-0411-GLP拆分场外费用(司调)'!G288</f>
        <v>18818.98</v>
      </c>
      <c r="E311" s="752">
        <f>D311/$A$3</f>
        <v>2646.8326300984527</v>
      </c>
      <c r="F311" s="752">
        <f t="shared" si="27"/>
        <v>2646.8326300984527</v>
      </c>
      <c r="G311" s="752">
        <f t="shared" si="23"/>
        <v>18818.98</v>
      </c>
      <c r="H311" s="606"/>
      <c r="I311" s="606"/>
      <c r="J311" s="715"/>
      <c r="K311" s="697"/>
      <c r="L311" s="606"/>
      <c r="M311" s="606"/>
      <c r="N311" s="606"/>
      <c r="O311" s="606"/>
      <c r="P311" s="738"/>
      <c r="Q311" s="738"/>
      <c r="R311" s="738"/>
      <c r="S311" s="698"/>
      <c r="T311" s="697"/>
    </row>
    <row r="312" spans="1:20" hidden="1">
      <c r="A312" s="753" t="s">
        <v>481</v>
      </c>
      <c r="B312" s="690" t="s">
        <v>482</v>
      </c>
      <c r="C312" s="690"/>
      <c r="D312" s="689">
        <f>'[2]总投资-发采购-0411-GLP拆分场外费用(司调)'!G289</f>
        <v>3355</v>
      </c>
      <c r="E312" s="752">
        <f t="shared" ref="E312:E323" si="28">D312/$A$3</f>
        <v>471.87060478199714</v>
      </c>
      <c r="F312" s="752">
        <f t="shared" ref="F312:F323" si="29">E312</f>
        <v>471.87060478199714</v>
      </c>
      <c r="G312" s="752">
        <f t="shared" ref="G312:G323" si="30">D312</f>
        <v>3355</v>
      </c>
      <c r="H312" s="606"/>
      <c r="I312" s="606"/>
      <c r="J312" s="715"/>
      <c r="K312" s="697"/>
      <c r="L312" s="606"/>
      <c r="M312" s="606"/>
      <c r="N312" s="606"/>
      <c r="O312" s="606"/>
      <c r="P312" s="738"/>
      <c r="Q312" s="738"/>
      <c r="R312" s="738"/>
      <c r="S312" s="698"/>
      <c r="T312" s="697"/>
    </row>
    <row r="313" spans="1:20" hidden="1">
      <c r="A313" s="753" t="s">
        <v>483</v>
      </c>
      <c r="B313" s="690" t="s">
        <v>484</v>
      </c>
      <c r="C313" s="690"/>
      <c r="D313" s="689">
        <f>'[2]总投资-发采购-0411-GLP拆分场外费用(司调)'!G290</f>
        <v>920</v>
      </c>
      <c r="E313" s="752">
        <f t="shared" si="28"/>
        <v>129.39521800281292</v>
      </c>
      <c r="F313" s="752">
        <f t="shared" si="29"/>
        <v>129.39521800281292</v>
      </c>
      <c r="G313" s="752">
        <f t="shared" si="30"/>
        <v>920</v>
      </c>
      <c r="H313" s="606"/>
      <c r="I313" s="606"/>
      <c r="J313" s="715"/>
      <c r="K313" s="697"/>
      <c r="L313" s="606"/>
      <c r="M313" s="606"/>
      <c r="N313" s="606"/>
      <c r="O313" s="606"/>
      <c r="P313" s="738"/>
      <c r="Q313" s="738"/>
      <c r="R313" s="738"/>
      <c r="S313" s="698"/>
      <c r="T313" s="697"/>
    </row>
    <row r="314" spans="1:20" hidden="1">
      <c r="A314" s="753" t="s">
        <v>485</v>
      </c>
      <c r="B314" s="690" t="s">
        <v>486</v>
      </c>
      <c r="C314" s="690"/>
      <c r="D314" s="689">
        <f>'[2]总投资-发采购-0411-GLP拆分场外费用(司调)'!G291</f>
        <v>3160</v>
      </c>
      <c r="E314" s="752">
        <f t="shared" si="28"/>
        <v>444.4444444444444</v>
      </c>
      <c r="F314" s="752">
        <f t="shared" si="29"/>
        <v>444.4444444444444</v>
      </c>
      <c r="G314" s="752">
        <f t="shared" si="30"/>
        <v>3160</v>
      </c>
      <c r="H314" s="606"/>
      <c r="I314" s="606"/>
      <c r="J314" s="715"/>
      <c r="K314" s="697"/>
      <c r="L314" s="606"/>
      <c r="M314" s="606"/>
      <c r="N314" s="606"/>
      <c r="O314" s="606"/>
      <c r="P314" s="738"/>
      <c r="Q314" s="738"/>
      <c r="R314" s="738"/>
      <c r="S314" s="698"/>
      <c r="T314" s="697"/>
    </row>
    <row r="315" spans="1:20" hidden="1">
      <c r="A315" s="753" t="s">
        <v>487</v>
      </c>
      <c r="B315" s="690" t="s">
        <v>488</v>
      </c>
      <c r="C315" s="690"/>
      <c r="D315" s="689">
        <f>'[2]总投资-发采购-0411-GLP拆分场外费用(司调)'!G292</f>
        <v>2100</v>
      </c>
      <c r="E315" s="752">
        <f t="shared" si="28"/>
        <v>295.35864978902953</v>
      </c>
      <c r="F315" s="752">
        <f t="shared" si="29"/>
        <v>295.35864978902953</v>
      </c>
      <c r="G315" s="752">
        <f t="shared" si="30"/>
        <v>2100</v>
      </c>
      <c r="H315" s="606"/>
      <c r="I315" s="606"/>
      <c r="J315" s="715"/>
      <c r="K315" s="697"/>
      <c r="L315" s="606"/>
      <c r="M315" s="606"/>
      <c r="N315" s="606"/>
      <c r="O315" s="606"/>
      <c r="P315" s="738"/>
      <c r="Q315" s="738"/>
      <c r="R315" s="738"/>
      <c r="S315" s="698"/>
      <c r="T315" s="697"/>
    </row>
    <row r="316" spans="1:20" hidden="1">
      <c r="A316" s="753" t="s">
        <v>489</v>
      </c>
      <c r="B316" s="690" t="s">
        <v>490</v>
      </c>
      <c r="C316" s="690"/>
      <c r="D316" s="689">
        <f>'[2]总投资-发采购-0411-GLP拆分场外费用(司调)'!G293</f>
        <v>341.9</v>
      </c>
      <c r="E316" s="752">
        <f t="shared" si="28"/>
        <v>48.087201125175802</v>
      </c>
      <c r="F316" s="752">
        <f t="shared" si="29"/>
        <v>48.087201125175802</v>
      </c>
      <c r="G316" s="752">
        <f t="shared" si="30"/>
        <v>341.9</v>
      </c>
      <c r="H316" s="606"/>
      <c r="I316" s="606"/>
      <c r="J316" s="715"/>
      <c r="K316" s="697"/>
      <c r="L316" s="606"/>
      <c r="M316" s="606"/>
      <c r="N316" s="606"/>
      <c r="O316" s="606"/>
      <c r="P316" s="738"/>
      <c r="Q316" s="738"/>
      <c r="R316" s="738"/>
      <c r="S316" s="698"/>
      <c r="T316" s="697"/>
    </row>
    <row r="317" spans="1:20" hidden="1">
      <c r="A317" s="753" t="s">
        <v>491</v>
      </c>
      <c r="B317" s="690" t="s">
        <v>492</v>
      </c>
      <c r="C317" s="690"/>
      <c r="D317" s="689">
        <f>'[2]总投资-发采购-0411-GLP拆分场外费用(司调)'!G294</f>
        <v>656.15</v>
      </c>
      <c r="E317" s="752">
        <f t="shared" si="28"/>
        <v>92.285513361462719</v>
      </c>
      <c r="F317" s="752">
        <f t="shared" si="29"/>
        <v>92.285513361462719</v>
      </c>
      <c r="G317" s="752">
        <f t="shared" si="30"/>
        <v>656.15</v>
      </c>
      <c r="H317" s="606"/>
      <c r="I317" s="606"/>
      <c r="J317" s="715"/>
      <c r="K317" s="697"/>
      <c r="L317" s="606"/>
      <c r="M317" s="606"/>
      <c r="N317" s="606"/>
      <c r="O317" s="606"/>
      <c r="P317" s="738"/>
      <c r="Q317" s="738"/>
      <c r="R317" s="738"/>
      <c r="S317" s="698"/>
      <c r="T317" s="697"/>
    </row>
    <row r="318" spans="1:20" hidden="1">
      <c r="A318" s="753" t="s">
        <v>493</v>
      </c>
      <c r="B318" s="690" t="s">
        <v>494</v>
      </c>
      <c r="C318" s="690"/>
      <c r="D318" s="689">
        <f>'[2]总投资-发采购-0411-GLP拆分场外费用(司调)'!G295</f>
        <v>355.67</v>
      </c>
      <c r="E318" s="752">
        <f t="shared" si="28"/>
        <v>50.023909985935305</v>
      </c>
      <c r="F318" s="752">
        <f t="shared" si="29"/>
        <v>50.023909985935305</v>
      </c>
      <c r="G318" s="752">
        <f t="shared" si="30"/>
        <v>355.67</v>
      </c>
      <c r="H318" s="606"/>
      <c r="I318" s="606"/>
      <c r="J318" s="715"/>
      <c r="K318" s="697"/>
      <c r="L318" s="606"/>
      <c r="M318" s="606"/>
      <c r="N318" s="606"/>
      <c r="O318" s="606"/>
      <c r="P318" s="738"/>
      <c r="Q318" s="738"/>
      <c r="R318" s="738"/>
      <c r="S318" s="698"/>
      <c r="T318" s="697"/>
    </row>
    <row r="319" spans="1:20" ht="26.4" hidden="1">
      <c r="A319" s="753" t="s">
        <v>495</v>
      </c>
      <c r="B319" s="690" t="s">
        <v>496</v>
      </c>
      <c r="C319" s="690"/>
      <c r="D319" s="689">
        <f>'[2]总投资-发采购-0411-GLP拆分场外费用(司调)'!G296</f>
        <v>211.46</v>
      </c>
      <c r="E319" s="752">
        <f t="shared" si="28"/>
        <v>29.741209563994374</v>
      </c>
      <c r="F319" s="752">
        <f t="shared" si="29"/>
        <v>29.741209563994374</v>
      </c>
      <c r="G319" s="752">
        <f t="shared" si="30"/>
        <v>211.46</v>
      </c>
      <c r="H319" s="606"/>
      <c r="I319" s="606"/>
      <c r="J319" s="715"/>
      <c r="K319" s="697"/>
      <c r="L319" s="606"/>
      <c r="M319" s="606"/>
      <c r="N319" s="606"/>
      <c r="O319" s="606"/>
      <c r="P319" s="738"/>
      <c r="Q319" s="738"/>
      <c r="R319" s="738"/>
      <c r="S319" s="698"/>
      <c r="T319" s="697"/>
    </row>
    <row r="320" spans="1:20" hidden="1">
      <c r="A320" s="753" t="s">
        <v>497</v>
      </c>
      <c r="B320" s="690" t="s">
        <v>498</v>
      </c>
      <c r="C320" s="690"/>
      <c r="D320" s="689">
        <f>'[2]总投资-发采购-0411-GLP拆分场外费用(司调)'!G297</f>
        <v>33.6</v>
      </c>
      <c r="E320" s="752">
        <f t="shared" si="28"/>
        <v>4.7257383966244726</v>
      </c>
      <c r="F320" s="752">
        <f t="shared" si="29"/>
        <v>4.7257383966244726</v>
      </c>
      <c r="G320" s="752">
        <f t="shared" si="30"/>
        <v>33.6</v>
      </c>
      <c r="H320" s="606"/>
      <c r="I320" s="606"/>
      <c r="J320" s="715"/>
      <c r="K320" s="697"/>
      <c r="L320" s="606"/>
      <c r="M320" s="606"/>
      <c r="N320" s="606"/>
      <c r="O320" s="606"/>
      <c r="P320" s="738"/>
      <c r="Q320" s="738"/>
      <c r="R320" s="738"/>
      <c r="S320" s="698"/>
      <c r="T320" s="697"/>
    </row>
    <row r="321" spans="1:20" hidden="1">
      <c r="A321" s="753" t="s">
        <v>499</v>
      </c>
      <c r="B321" s="690" t="s">
        <v>500</v>
      </c>
      <c r="C321" s="690"/>
      <c r="D321" s="689">
        <f>'[2]总投资-发采购-0411-GLP拆分场外费用(司调)'!G298</f>
        <v>333.3</v>
      </c>
      <c r="E321" s="752">
        <f t="shared" si="28"/>
        <v>46.877637130801688</v>
      </c>
      <c r="F321" s="752">
        <f t="shared" si="29"/>
        <v>46.877637130801688</v>
      </c>
      <c r="G321" s="752">
        <f t="shared" si="30"/>
        <v>333.3</v>
      </c>
      <c r="H321" s="606"/>
      <c r="I321" s="606"/>
      <c r="J321" s="715"/>
      <c r="K321" s="697"/>
      <c r="L321" s="606"/>
      <c r="M321" s="606"/>
      <c r="N321" s="606"/>
      <c r="O321" s="606"/>
      <c r="P321" s="738"/>
      <c r="Q321" s="738"/>
      <c r="R321" s="738"/>
      <c r="S321" s="698"/>
      <c r="T321" s="697"/>
    </row>
    <row r="322" spans="1:20" hidden="1">
      <c r="A322" s="753" t="s">
        <v>501</v>
      </c>
      <c r="B322" s="690" t="s">
        <v>502</v>
      </c>
      <c r="C322" s="690"/>
      <c r="D322" s="689">
        <f>'[2]总投资-发采购-0411-GLP拆分场外费用(司调)'!G299</f>
        <v>7000</v>
      </c>
      <c r="E322" s="752">
        <f t="shared" si="28"/>
        <v>984.52883263009846</v>
      </c>
      <c r="F322" s="752">
        <f t="shared" si="29"/>
        <v>984.52883263009846</v>
      </c>
      <c r="G322" s="752">
        <f t="shared" si="30"/>
        <v>7000</v>
      </c>
      <c r="H322" s="606"/>
      <c r="I322" s="606"/>
      <c r="J322" s="715"/>
      <c r="K322" s="697"/>
      <c r="L322" s="606"/>
      <c r="M322" s="606"/>
      <c r="N322" s="606"/>
      <c r="O322" s="606"/>
      <c r="P322" s="738"/>
      <c r="Q322" s="738"/>
      <c r="R322" s="738"/>
      <c r="S322" s="698"/>
      <c r="T322" s="697"/>
    </row>
    <row r="323" spans="1:20" hidden="1">
      <c r="A323" s="753" t="s">
        <v>503</v>
      </c>
      <c r="B323" s="690" t="s">
        <v>504</v>
      </c>
      <c r="C323" s="690"/>
      <c r="D323" s="689">
        <f>'[2]总投资-发采购-0411-GLP拆分场外费用(司调)'!G300</f>
        <v>351.9</v>
      </c>
      <c r="E323" s="752">
        <f t="shared" si="28"/>
        <v>49.493670886075947</v>
      </c>
      <c r="F323" s="752">
        <f t="shared" si="29"/>
        <v>49.493670886075947</v>
      </c>
      <c r="G323" s="752">
        <f t="shared" si="30"/>
        <v>351.9</v>
      </c>
      <c r="H323" s="606"/>
      <c r="I323" s="606"/>
      <c r="J323" s="715"/>
      <c r="K323" s="697"/>
      <c r="L323" s="606"/>
      <c r="M323" s="606"/>
      <c r="N323" s="606"/>
      <c r="O323" s="606"/>
      <c r="P323" s="738"/>
      <c r="Q323" s="738"/>
      <c r="R323" s="738"/>
      <c r="S323" s="698"/>
      <c r="T323" s="697"/>
    </row>
    <row r="324" spans="1:20">
      <c r="A324" s="1081" t="s">
        <v>505</v>
      </c>
      <c r="B324" s="1076"/>
      <c r="C324" s="1077"/>
      <c r="D324" s="713">
        <f>SUM(D244,D262,D263,D275,D307,D308,D310)</f>
        <v>78732.785499999998</v>
      </c>
      <c r="E324" s="713">
        <f>SUM(E244,E262,E263,E275,E308,E307,E310)</f>
        <v>11073.528199718705</v>
      </c>
      <c r="F324" s="713">
        <f>SUM(F244,F262,F263,F275,F308,F310)</f>
        <v>10600.391772151896</v>
      </c>
      <c r="G324" s="713">
        <f>SUM(G244,G262,G263,G275,G308,G310)</f>
        <v>75368.785499999998</v>
      </c>
      <c r="H324" s="606"/>
      <c r="I324" s="606"/>
      <c r="J324" s="715"/>
      <c r="K324" s="697"/>
      <c r="L324" s="606"/>
      <c r="M324" s="606"/>
      <c r="N324" s="606"/>
      <c r="O324" s="606"/>
      <c r="P324" s="738"/>
      <c r="Q324" s="738"/>
      <c r="R324" s="738"/>
      <c r="S324" s="698"/>
      <c r="T324" s="697"/>
    </row>
    <row r="325" spans="1:20">
      <c r="A325" s="756" t="s">
        <v>506</v>
      </c>
      <c r="B325" s="774" t="s">
        <v>507</v>
      </c>
      <c r="C325" s="680"/>
      <c r="D325" s="681"/>
      <c r="E325" s="682"/>
      <c r="F325" s="681"/>
      <c r="G325" s="681"/>
      <c r="H325" s="680"/>
      <c r="I325" s="680"/>
      <c r="J325" s="680"/>
      <c r="K325" s="680"/>
      <c r="L325" s="680"/>
      <c r="M325" s="680"/>
      <c r="N325" s="680"/>
      <c r="O325" s="680"/>
      <c r="P325" s="680"/>
      <c r="Q325" s="680"/>
      <c r="R325" s="705"/>
      <c r="S325" s="680"/>
      <c r="T325" s="706"/>
    </row>
    <row r="326" spans="1:20" ht="15" customHeight="1">
      <c r="A326" s="749" t="s">
        <v>85</v>
      </c>
      <c r="B326" s="799" t="s">
        <v>776</v>
      </c>
      <c r="C326" s="800" t="s">
        <v>509</v>
      </c>
      <c r="D326" s="792">
        <f>'[2]总投资-发采购-0411-GLP拆分场外费用(司调)'!G333</f>
        <v>1000</v>
      </c>
      <c r="E326" s="792">
        <f>D326/$A$3</f>
        <v>140.64697609001405</v>
      </c>
      <c r="F326" s="792">
        <f>E326</f>
        <v>140.64697609001405</v>
      </c>
      <c r="G326" s="792">
        <f>D326</f>
        <v>1000</v>
      </c>
      <c r="H326" s="797" t="s">
        <v>510</v>
      </c>
      <c r="I326" s="606" t="s">
        <v>89</v>
      </c>
      <c r="J326" s="715">
        <v>51</v>
      </c>
      <c r="K326" s="697" t="s">
        <v>401</v>
      </c>
      <c r="L326" s="749"/>
      <c r="M326" s="749" t="s">
        <v>777</v>
      </c>
      <c r="N326" s="749"/>
      <c r="O326" s="749"/>
      <c r="P326" s="755">
        <v>2024.9</v>
      </c>
      <c r="Q326" s="755" t="s">
        <v>738</v>
      </c>
      <c r="R326" s="755" t="s">
        <v>739</v>
      </c>
      <c r="S326" s="802">
        <v>2028.12</v>
      </c>
      <c r="T326" s="754"/>
    </row>
    <row r="327" spans="1:20" ht="24">
      <c r="A327" s="749" t="s">
        <v>511</v>
      </c>
      <c r="B327" s="799" t="s">
        <v>778</v>
      </c>
      <c r="C327" s="799" t="s">
        <v>779</v>
      </c>
      <c r="D327" s="792">
        <f>'[2]总投资-发采购-0411-GLP拆分场外费用(司调)'!G334</f>
        <v>1000</v>
      </c>
      <c r="E327" s="792">
        <f>D327/$A$3</f>
        <v>140.64697609001405</v>
      </c>
      <c r="F327" s="792">
        <f>E327</f>
        <v>140.64697609001405</v>
      </c>
      <c r="G327" s="792">
        <f>D327</f>
        <v>1000</v>
      </c>
      <c r="H327" s="797" t="s">
        <v>510</v>
      </c>
      <c r="I327" s="606" t="s">
        <v>89</v>
      </c>
      <c r="J327" s="715">
        <v>51</v>
      </c>
      <c r="K327" s="697" t="s">
        <v>401</v>
      </c>
      <c r="L327" s="749"/>
      <c r="M327" s="749" t="s">
        <v>777</v>
      </c>
      <c r="N327" s="749"/>
      <c r="O327" s="749"/>
      <c r="P327" s="755">
        <v>2024.9</v>
      </c>
      <c r="Q327" s="755" t="s">
        <v>738</v>
      </c>
      <c r="R327" s="755" t="s">
        <v>739</v>
      </c>
      <c r="S327" s="802">
        <v>2028.12</v>
      </c>
      <c r="T327" s="754"/>
    </row>
    <row r="328" spans="1:20">
      <c r="A328" s="606" t="s">
        <v>514</v>
      </c>
      <c r="B328" s="683" t="s">
        <v>780</v>
      </c>
      <c r="C328" s="683" t="s">
        <v>781</v>
      </c>
      <c r="D328" s="712">
        <f>'[2]总投资-发采购-0411-GLP拆分场外费用(司调)'!G331</f>
        <v>761</v>
      </c>
      <c r="E328" s="712">
        <f>D328/$A$3</f>
        <v>107.0323488045007</v>
      </c>
      <c r="F328" s="712">
        <f>E328</f>
        <v>107.0323488045007</v>
      </c>
      <c r="G328" s="712">
        <f>D328</f>
        <v>761</v>
      </c>
      <c r="H328" s="780" t="s">
        <v>510</v>
      </c>
      <c r="I328" s="606" t="s">
        <v>89</v>
      </c>
      <c r="J328" s="715">
        <v>42</v>
      </c>
      <c r="K328" s="781" t="s">
        <v>180</v>
      </c>
      <c r="L328" s="606"/>
      <c r="M328" s="780"/>
      <c r="N328" s="606"/>
      <c r="O328" s="606"/>
      <c r="P328" s="738" t="s">
        <v>181</v>
      </c>
      <c r="Q328" s="738" t="s">
        <v>428</v>
      </c>
      <c r="R328" s="738" t="s">
        <v>517</v>
      </c>
      <c r="S328" s="698">
        <v>2028.12</v>
      </c>
      <c r="T328" s="697"/>
    </row>
    <row r="329" spans="1:20">
      <c r="A329" s="606" t="s">
        <v>91</v>
      </c>
      <c r="B329" s="683" t="s">
        <v>782</v>
      </c>
      <c r="C329" s="776" t="s">
        <v>519</v>
      </c>
      <c r="D329" s="712">
        <f>'[2]总投资-发采购-0411-GLP拆分场外费用(司调)'!G332</f>
        <v>116</v>
      </c>
      <c r="E329" s="712">
        <f t="shared" ref="E329:E331" si="31">D329/$A$3</f>
        <v>16.31504922644163</v>
      </c>
      <c r="F329" s="712">
        <f t="shared" ref="F329:F331" si="32">E329</f>
        <v>16.31504922644163</v>
      </c>
      <c r="G329" s="712">
        <f t="shared" ref="G329:G331" si="33">D329</f>
        <v>116</v>
      </c>
      <c r="H329" s="780" t="s">
        <v>510</v>
      </c>
      <c r="I329" s="606" t="s">
        <v>97</v>
      </c>
      <c r="J329" s="715">
        <v>42</v>
      </c>
      <c r="K329" s="781" t="s">
        <v>336</v>
      </c>
      <c r="L329" s="606"/>
      <c r="M329" s="780"/>
      <c r="N329" s="606"/>
      <c r="O329" s="606"/>
      <c r="P329" s="738" t="s">
        <v>181</v>
      </c>
      <c r="Q329" s="738" t="s">
        <v>428</v>
      </c>
      <c r="R329" s="738" t="s">
        <v>517</v>
      </c>
      <c r="S329" s="698">
        <v>2028.12</v>
      </c>
      <c r="T329" s="697"/>
    </row>
    <row r="330" spans="1:20">
      <c r="A330" s="606" t="s">
        <v>94</v>
      </c>
      <c r="B330" s="776" t="s">
        <v>783</v>
      </c>
      <c r="C330" s="683" t="s">
        <v>784</v>
      </c>
      <c r="D330" s="712">
        <f>'[2]总投资-发采购-0411-GLP拆分场外费用(司调)'!G335</f>
        <v>1000</v>
      </c>
      <c r="E330" s="712">
        <f t="shared" si="31"/>
        <v>140.64697609001405</v>
      </c>
      <c r="F330" s="712">
        <f t="shared" si="32"/>
        <v>140.64697609001405</v>
      </c>
      <c r="G330" s="712">
        <f t="shared" si="33"/>
        <v>1000</v>
      </c>
      <c r="H330" s="780" t="s">
        <v>510</v>
      </c>
      <c r="I330" s="606" t="s">
        <v>89</v>
      </c>
      <c r="J330" s="715">
        <v>42</v>
      </c>
      <c r="K330" s="781" t="s">
        <v>180</v>
      </c>
      <c r="L330" s="606"/>
      <c r="M330" s="781"/>
      <c r="N330" s="606"/>
      <c r="O330" s="606"/>
      <c r="P330" s="738" t="s">
        <v>181</v>
      </c>
      <c r="Q330" s="738" t="s">
        <v>428</v>
      </c>
      <c r="R330" s="738" t="s">
        <v>517</v>
      </c>
      <c r="S330" s="698">
        <v>2028.12</v>
      </c>
      <c r="T330" s="697"/>
    </row>
    <row r="331" spans="1:20">
      <c r="A331" s="1081" t="s">
        <v>505</v>
      </c>
      <c r="B331" s="1076"/>
      <c r="C331" s="1077"/>
      <c r="D331" s="713">
        <f>SUM(D326:D330)</f>
        <v>3877</v>
      </c>
      <c r="E331" s="713">
        <f t="shared" si="31"/>
        <v>545.28832630098452</v>
      </c>
      <c r="F331" s="713">
        <f t="shared" si="32"/>
        <v>545.28832630098452</v>
      </c>
      <c r="G331" s="713">
        <f t="shared" si="33"/>
        <v>3877</v>
      </c>
      <c r="H331" s="606"/>
      <c r="I331" s="606"/>
      <c r="J331" s="715"/>
      <c r="K331" s="697"/>
      <c r="L331" s="606"/>
      <c r="M331" s="606"/>
      <c r="N331" s="606"/>
      <c r="O331" s="606"/>
      <c r="P331" s="606"/>
      <c r="Q331" s="606"/>
      <c r="R331" s="738"/>
      <c r="S331" s="742"/>
      <c r="T331" s="697"/>
    </row>
    <row r="332" spans="1:20">
      <c r="A332" s="606"/>
      <c r="B332" s="758"/>
      <c r="C332" s="758"/>
      <c r="D332" s="712"/>
      <c r="E332" s="712"/>
      <c r="F332" s="712"/>
      <c r="G332" s="712"/>
      <c r="H332" s="606"/>
      <c r="I332" s="606"/>
      <c r="J332" s="715"/>
      <c r="K332" s="697"/>
      <c r="L332" s="606"/>
      <c r="M332" s="606"/>
      <c r="N332" s="606"/>
      <c r="O332" s="606"/>
      <c r="P332" s="606"/>
      <c r="Q332" s="606"/>
      <c r="R332" s="738"/>
      <c r="S332" s="742"/>
      <c r="T332" s="697"/>
    </row>
    <row r="333" spans="1:20">
      <c r="A333" s="1082" t="s">
        <v>523</v>
      </c>
      <c r="B333" s="1083"/>
      <c r="C333" s="1084"/>
      <c r="D333" s="759">
        <f>SUM(D211,D242,D324,D331)</f>
        <v>285045.69573175302</v>
      </c>
      <c r="E333" s="759">
        <f>D333/A3</f>
        <v>40090.815152145289</v>
      </c>
      <c r="F333" s="759">
        <f>E333</f>
        <v>40090.815152145289</v>
      </c>
      <c r="G333" s="759">
        <f>D333</f>
        <v>285045.69573175302</v>
      </c>
      <c r="H333" s="706"/>
      <c r="I333" s="706"/>
      <c r="J333" s="764"/>
      <c r="K333" s="765"/>
      <c r="L333" s="706"/>
      <c r="M333" s="706"/>
      <c r="N333" s="706"/>
      <c r="O333" s="706"/>
      <c r="P333" s="706"/>
      <c r="Q333" s="706"/>
      <c r="R333" s="767"/>
      <c r="S333" s="768"/>
      <c r="T333" s="765"/>
    </row>
    <row r="335" spans="1:20">
      <c r="C335" s="760" t="s">
        <v>524</v>
      </c>
      <c r="D335" s="664">
        <f>SUM(D7,D30,D44,D74,D117,D157,D210,D213,D244,D262)</f>
        <v>242748.76023175303</v>
      </c>
      <c r="E335" s="664">
        <f>D335/7.11</f>
        <v>34141.879076195924</v>
      </c>
    </row>
    <row r="336" spans="1:20">
      <c r="C336" s="760" t="s">
        <v>525</v>
      </c>
      <c r="D336" s="664">
        <f>D263+D275+D307+D308+D310</f>
        <v>38419.935499999992</v>
      </c>
      <c r="E336" s="664">
        <f t="shared" ref="E336:E338" si="34">D336/7.11</f>
        <v>5403.6477496483813</v>
      </c>
    </row>
    <row r="337" spans="3:5">
      <c r="C337" s="760" t="s">
        <v>526</v>
      </c>
      <c r="D337" s="664">
        <f>D331</f>
        <v>3877</v>
      </c>
      <c r="E337" s="664">
        <f t="shared" si="34"/>
        <v>545.28832630098452</v>
      </c>
    </row>
    <row r="338" spans="3:5">
      <c r="C338" s="760"/>
      <c r="D338" s="761">
        <f>SUM(D335:D337)</f>
        <v>285045.69573175302</v>
      </c>
      <c r="E338" s="761">
        <f t="shared" si="34"/>
        <v>40090.815152145289</v>
      </c>
    </row>
    <row r="339" spans="3:5">
      <c r="C339" s="760"/>
      <c r="D339" s="664"/>
    </row>
    <row r="341" spans="3:5">
      <c r="C341" s="801" t="s">
        <v>785</v>
      </c>
    </row>
    <row r="342" spans="3:5">
      <c r="C342" s="760" t="s">
        <v>786</v>
      </c>
      <c r="D342" s="664">
        <f>E244</f>
        <v>2856.9409282700417</v>
      </c>
    </row>
    <row r="343" spans="3:5">
      <c r="C343" s="760" t="s">
        <v>787</v>
      </c>
      <c r="D343" s="664">
        <f>E262</f>
        <v>2812.939521800281</v>
      </c>
    </row>
    <row r="344" spans="3:5">
      <c r="C344" s="760" t="s">
        <v>788</v>
      </c>
      <c r="D344" s="664">
        <f>E263</f>
        <v>761.39880450070314</v>
      </c>
    </row>
    <row r="345" spans="3:5">
      <c r="C345" s="760" t="s">
        <v>789</v>
      </c>
      <c r="D345" s="664">
        <f>E326</f>
        <v>140.64697609001405</v>
      </c>
    </row>
    <row r="346" spans="3:5">
      <c r="C346" s="760" t="s">
        <v>790</v>
      </c>
      <c r="D346" s="664">
        <f>E327</f>
        <v>140.64697609001405</v>
      </c>
    </row>
    <row r="347" spans="3:5">
      <c r="C347" s="760"/>
      <c r="D347" s="761">
        <f>SUM(D342:D346)</f>
        <v>6712.5732067510544</v>
      </c>
    </row>
    <row r="348" spans="3:5">
      <c r="C348" s="760"/>
    </row>
    <row r="349" spans="3:5">
      <c r="C349" s="760"/>
    </row>
    <row r="350" spans="3:5">
      <c r="C350" s="760"/>
    </row>
    <row r="351" spans="3:5">
      <c r="C351" s="760"/>
    </row>
    <row r="352" spans="3:5">
      <c r="C352" s="760"/>
    </row>
  </sheetData>
  <mergeCells count="24">
    <mergeCell ref="N4:O5"/>
    <mergeCell ref="A242:C242"/>
    <mergeCell ref="A324:C324"/>
    <mergeCell ref="A331:C331"/>
    <mergeCell ref="A333:C333"/>
    <mergeCell ref="A4:A5"/>
    <mergeCell ref="B4:B5"/>
    <mergeCell ref="C4:C5"/>
    <mergeCell ref="A1:T1"/>
    <mergeCell ref="D4:E4"/>
    <mergeCell ref="F4:G4"/>
    <mergeCell ref="A211:C211"/>
    <mergeCell ref="B212:T212"/>
    <mergeCell ref="H4:H5"/>
    <mergeCell ref="I4:I5"/>
    <mergeCell ref="J4:J5"/>
    <mergeCell ref="K4:K5"/>
    <mergeCell ref="L4:L5"/>
    <mergeCell ref="M4:M5"/>
    <mergeCell ref="P4:P5"/>
    <mergeCell ref="Q4:Q5"/>
    <mergeCell ref="R4:R5"/>
    <mergeCell ref="S4:S5"/>
    <mergeCell ref="T4:T5"/>
  </mergeCells>
  <conditionalFormatting sqref="A210:B210 B213:B241 A214:A241">
    <cfRule type="expression" dxfId="1" priority="1">
      <formula>AND(COUNTIF(#REF!,A210)+COUNTIF(#REF!,A210)&gt;1,NOT(ISBLANK(A210)))</formula>
    </cfRule>
  </conditionalFormatting>
  <printOptions horizontalCentered="1" verticalCentered="1"/>
  <pageMargins left="0.235416666666667" right="0.235416666666667" top="0.39305555555555599" bottom="0.39305555555555599" header="0.31388888888888899" footer="0.31388888888888899"/>
  <pageSetup paperSize="9" scale="62" fitToWidth="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352"/>
  <sheetViews>
    <sheetView zoomScale="63" zoomScaleNormal="63" workbookViewId="0">
      <selection sqref="A1:T1"/>
    </sheetView>
  </sheetViews>
  <sheetFormatPr defaultColWidth="9" defaultRowHeight="14.4"/>
  <cols>
    <col min="1" max="1" width="14.88671875" style="662" customWidth="1"/>
    <col min="2" max="2" width="30.44140625" style="662" customWidth="1"/>
    <col min="3" max="3" width="62" style="662" customWidth="1"/>
    <col min="4" max="4" width="12.5546875" style="663" customWidth="1"/>
    <col min="5" max="5" width="10.77734375" style="664" customWidth="1"/>
    <col min="6" max="6" width="11.5546875" style="663" customWidth="1"/>
    <col min="7" max="7" width="12.5546875" style="663" hidden="1" customWidth="1"/>
    <col min="8" max="8" width="18" style="662" customWidth="1"/>
    <col min="9" max="9" width="13.33203125" style="662" customWidth="1"/>
    <col min="10" max="10" width="11.33203125" style="662" customWidth="1"/>
    <col min="11" max="11" width="13.109375" style="662" customWidth="1"/>
    <col min="12" max="12" width="9" style="662" hidden="1" customWidth="1"/>
    <col min="13" max="13" width="12" style="662" customWidth="1"/>
    <col min="14" max="14" width="9" style="662" hidden="1" customWidth="1"/>
    <col min="15" max="15" width="6.33203125" style="662" hidden="1" customWidth="1"/>
    <col min="16" max="16" width="8.88671875" style="662" customWidth="1"/>
    <col min="17" max="17" width="10.109375" style="662" customWidth="1"/>
    <col min="18" max="18" width="9.33203125" style="665" customWidth="1"/>
    <col min="19" max="19" width="8.5546875" style="662" customWidth="1"/>
    <col min="20" max="20" width="11.5546875" style="662" customWidth="1"/>
  </cols>
  <sheetData>
    <row r="1" spans="1:20" ht="17.399999999999999">
      <c r="A1" s="1100" t="s">
        <v>791</v>
      </c>
      <c r="B1" s="1100"/>
      <c r="C1" s="1101"/>
      <c r="D1" s="1101"/>
      <c r="E1" s="1101"/>
      <c r="F1" s="1101"/>
      <c r="G1" s="1101"/>
      <c r="H1" s="1101"/>
      <c r="I1" s="1101"/>
      <c r="J1" s="1101"/>
      <c r="K1" s="1101"/>
      <c r="L1" s="1101"/>
      <c r="M1" s="1101"/>
      <c r="N1" s="1101"/>
      <c r="O1" s="1101"/>
      <c r="P1" s="1101"/>
      <c r="Q1" s="1101"/>
      <c r="R1" s="1101"/>
      <c r="S1" s="1101"/>
      <c r="T1" s="1101"/>
    </row>
    <row r="2" spans="1:20">
      <c r="A2" s="666" t="s">
        <v>1</v>
      </c>
      <c r="B2" s="667" t="s">
        <v>528</v>
      </c>
      <c r="C2" s="668"/>
      <c r="D2" s="669"/>
      <c r="F2" s="669"/>
      <c r="G2" s="669"/>
      <c r="H2" s="670"/>
      <c r="I2" s="670"/>
      <c r="J2" s="670"/>
      <c r="K2" s="670"/>
      <c r="L2" s="670"/>
      <c r="M2" s="670"/>
      <c r="N2" s="670"/>
      <c r="O2" s="670"/>
      <c r="P2" s="670"/>
      <c r="Q2" s="670"/>
      <c r="R2" s="702"/>
      <c r="S2" s="670"/>
    </row>
    <row r="3" spans="1:20">
      <c r="A3" s="671">
        <v>7.11</v>
      </c>
      <c r="B3" s="672">
        <v>45394</v>
      </c>
      <c r="C3" s="673"/>
      <c r="D3" s="674"/>
      <c r="E3" s="675"/>
      <c r="F3" s="674"/>
      <c r="G3" s="674"/>
      <c r="H3" s="676"/>
      <c r="I3" s="676"/>
      <c r="J3" s="676"/>
      <c r="K3" s="676"/>
      <c r="L3" s="676"/>
      <c r="M3" s="676"/>
      <c r="N3" s="676"/>
      <c r="O3" s="676"/>
      <c r="P3" s="676"/>
      <c r="Q3" s="676"/>
      <c r="R3" s="703"/>
      <c r="S3" s="676"/>
      <c r="T3" s="704"/>
    </row>
    <row r="4" spans="1:20" ht="26.25" customHeight="1">
      <c r="A4" s="1085" t="s">
        <v>5</v>
      </c>
      <c r="B4" s="1085" t="s">
        <v>6</v>
      </c>
      <c r="C4" s="1085" t="s">
        <v>529</v>
      </c>
      <c r="D4" s="1073" t="s">
        <v>530</v>
      </c>
      <c r="E4" s="1074"/>
      <c r="F4" s="1110" t="s">
        <v>531</v>
      </c>
      <c r="G4" s="1111"/>
      <c r="H4" s="1105" t="s">
        <v>532</v>
      </c>
      <c r="I4" s="1105" t="s">
        <v>11</v>
      </c>
      <c r="J4" s="1106" t="s">
        <v>533</v>
      </c>
      <c r="K4" s="1105" t="s">
        <v>534</v>
      </c>
      <c r="L4" s="1117" t="s">
        <v>117</v>
      </c>
      <c r="M4" s="1107" t="s">
        <v>792</v>
      </c>
      <c r="N4" s="1119" t="s">
        <v>119</v>
      </c>
      <c r="O4" s="1119"/>
      <c r="P4" s="1105" t="s">
        <v>535</v>
      </c>
      <c r="Q4" s="1107" t="s">
        <v>536</v>
      </c>
      <c r="R4" s="1109" t="s">
        <v>537</v>
      </c>
      <c r="S4" s="1105" t="s">
        <v>538</v>
      </c>
      <c r="T4" s="1085" t="s">
        <v>20</v>
      </c>
    </row>
    <row r="5" spans="1:20">
      <c r="A5" s="1086"/>
      <c r="B5" s="1086"/>
      <c r="C5" s="1086"/>
      <c r="D5" s="677" t="s">
        <v>539</v>
      </c>
      <c r="E5" s="677" t="s">
        <v>540</v>
      </c>
      <c r="F5" s="1112"/>
      <c r="G5" s="1113"/>
      <c r="H5" s="1105"/>
      <c r="I5" s="1105"/>
      <c r="J5" s="1089"/>
      <c r="K5" s="1087"/>
      <c r="L5" s="1118"/>
      <c r="M5" s="1098"/>
      <c r="N5" s="1119"/>
      <c r="O5" s="1119"/>
      <c r="P5" s="1105"/>
      <c r="Q5" s="1108"/>
      <c r="R5" s="1109"/>
      <c r="S5" s="1105"/>
      <c r="T5" s="1098"/>
    </row>
    <row r="6" spans="1:20" s="661" customFormat="1" ht="13.2">
      <c r="A6" s="678" t="s">
        <v>24</v>
      </c>
      <c r="B6" s="679" t="s">
        <v>25</v>
      </c>
      <c r="C6" s="680"/>
      <c r="D6" s="681"/>
      <c r="E6" s="682"/>
      <c r="F6" s="681"/>
      <c r="G6" s="681"/>
      <c r="H6" s="680"/>
      <c r="I6" s="680"/>
      <c r="J6" s="680"/>
      <c r="K6" s="680"/>
      <c r="L6" s="680"/>
      <c r="M6" s="680"/>
      <c r="N6" s="680"/>
      <c r="O6" s="680"/>
      <c r="P6" s="680"/>
      <c r="Q6" s="680"/>
      <c r="R6" s="705"/>
      <c r="S6" s="680"/>
      <c r="T6" s="706"/>
    </row>
    <row r="7" spans="1:20" ht="26.4">
      <c r="A7" s="606" t="s">
        <v>130</v>
      </c>
      <c r="B7" s="564" t="s">
        <v>541</v>
      </c>
      <c r="C7" s="683" t="s">
        <v>542</v>
      </c>
      <c r="D7" s="684">
        <f>SUM(D8,D21,D29)</f>
        <v>6876.7533184221402</v>
      </c>
      <c r="E7" s="685">
        <f>D7/A3</f>
        <v>967.19455955304363</v>
      </c>
      <c r="F7" s="685">
        <f>E7</f>
        <v>967.19455955304363</v>
      </c>
      <c r="G7" s="685">
        <f>D7</f>
        <v>6876.7533184221402</v>
      </c>
      <c r="H7" s="606" t="s">
        <v>543</v>
      </c>
      <c r="I7" s="606" t="s">
        <v>30</v>
      </c>
      <c r="J7" s="606">
        <v>18</v>
      </c>
      <c r="K7" s="697" t="s">
        <v>544</v>
      </c>
      <c r="L7" s="606" t="s">
        <v>135</v>
      </c>
      <c r="M7" s="606"/>
      <c r="N7" s="606"/>
      <c r="O7" s="606"/>
      <c r="P7" s="698">
        <v>2025.3</v>
      </c>
      <c r="Q7" s="698">
        <v>2025.4</v>
      </c>
      <c r="R7" s="698" t="s">
        <v>136</v>
      </c>
      <c r="S7" s="698" t="s">
        <v>137</v>
      </c>
      <c r="T7" s="697"/>
    </row>
    <row r="8" spans="1:20" hidden="1">
      <c r="A8" s="686">
        <v>1.1000000000000001</v>
      </c>
      <c r="B8" s="564" t="s">
        <v>545</v>
      </c>
      <c r="C8" s="687" t="s">
        <v>676</v>
      </c>
      <c r="D8" s="688">
        <f>'[2]总投资-发采购-0411-GLP拆分场外费用(司调)'!G7</f>
        <v>5931.3338184221402</v>
      </c>
      <c r="E8" s="689"/>
      <c r="F8" s="689">
        <f t="shared" ref="F8:F71" si="0">E8</f>
        <v>0</v>
      </c>
      <c r="G8" s="689">
        <f t="shared" ref="G8:G71" si="1">D8</f>
        <v>5931.3338184221402</v>
      </c>
      <c r="H8" s="606" t="s">
        <v>543</v>
      </c>
      <c r="I8" s="686"/>
      <c r="J8" s="686"/>
      <c r="K8" s="697" t="s">
        <v>544</v>
      </c>
      <c r="L8" s="686"/>
      <c r="M8" s="606"/>
      <c r="N8" s="686"/>
      <c r="O8" s="686"/>
      <c r="P8" s="699"/>
      <c r="Q8" s="699"/>
      <c r="R8" s="699"/>
      <c r="S8" s="699"/>
      <c r="T8" s="707"/>
    </row>
    <row r="9" spans="1:20" hidden="1">
      <c r="A9" s="686" t="s">
        <v>140</v>
      </c>
      <c r="B9" s="564" t="s">
        <v>546</v>
      </c>
      <c r="C9" s="687" t="s">
        <v>677</v>
      </c>
      <c r="D9" s="688">
        <f>'[2]总投资-发采购-0411-GLP拆分场外费用(司调)'!G8</f>
        <v>4137.5599067698404</v>
      </c>
      <c r="E9" s="689"/>
      <c r="F9" s="689">
        <f t="shared" si="0"/>
        <v>0</v>
      </c>
      <c r="G9" s="689">
        <f t="shared" si="1"/>
        <v>4137.5599067698404</v>
      </c>
      <c r="H9" s="606" t="s">
        <v>543</v>
      </c>
      <c r="I9" s="686"/>
      <c r="J9" s="686"/>
      <c r="K9" s="697" t="s">
        <v>544</v>
      </c>
      <c r="L9" s="686"/>
      <c r="M9" s="606"/>
      <c r="N9" s="686"/>
      <c r="O9" s="686"/>
      <c r="P9" s="699"/>
      <c r="Q9" s="699"/>
      <c r="R9" s="699"/>
      <c r="S9" s="699"/>
      <c r="T9" s="707"/>
    </row>
    <row r="10" spans="1:20" hidden="1">
      <c r="A10" s="686" t="s">
        <v>142</v>
      </c>
      <c r="B10" s="564" t="s">
        <v>27</v>
      </c>
      <c r="C10" s="687" t="s">
        <v>678</v>
      </c>
      <c r="D10" s="688">
        <f>'[2]总投资-发采购-0411-GLP拆分场外费用(司调)'!G9</f>
        <v>13.96608</v>
      </c>
      <c r="E10" s="689"/>
      <c r="F10" s="689">
        <f t="shared" si="0"/>
        <v>0</v>
      </c>
      <c r="G10" s="689">
        <f t="shared" si="1"/>
        <v>13.96608</v>
      </c>
      <c r="H10" s="606" t="s">
        <v>543</v>
      </c>
      <c r="I10" s="686"/>
      <c r="J10" s="686"/>
      <c r="K10" s="697" t="s">
        <v>544</v>
      </c>
      <c r="L10" s="686"/>
      <c r="M10" s="606"/>
      <c r="N10" s="686"/>
      <c r="O10" s="686"/>
      <c r="P10" s="699"/>
      <c r="Q10" s="699"/>
      <c r="R10" s="699"/>
      <c r="S10" s="699"/>
      <c r="T10" s="707"/>
    </row>
    <row r="11" spans="1:20" hidden="1">
      <c r="A11" s="686" t="s">
        <v>144</v>
      </c>
      <c r="B11" s="564" t="s">
        <v>36</v>
      </c>
      <c r="C11" s="687" t="s">
        <v>679</v>
      </c>
      <c r="D11" s="688">
        <f>'[2]总投资-发采购-0411-GLP拆分场外费用(司调)'!G10</f>
        <v>125.69472</v>
      </c>
      <c r="E11" s="689"/>
      <c r="F11" s="689">
        <f t="shared" si="0"/>
        <v>0</v>
      </c>
      <c r="G11" s="689">
        <f t="shared" si="1"/>
        <v>125.69472</v>
      </c>
      <c r="H11" s="606" t="s">
        <v>543</v>
      </c>
      <c r="I11" s="686"/>
      <c r="J11" s="686"/>
      <c r="K11" s="697" t="s">
        <v>544</v>
      </c>
      <c r="L11" s="686"/>
      <c r="M11" s="606"/>
      <c r="N11" s="686"/>
      <c r="O11" s="686"/>
      <c r="P11" s="699"/>
      <c r="Q11" s="699"/>
      <c r="R11" s="699"/>
      <c r="S11" s="699"/>
      <c r="T11" s="707"/>
    </row>
    <row r="12" spans="1:20" ht="26.4" hidden="1">
      <c r="A12" s="686" t="s">
        <v>146</v>
      </c>
      <c r="B12" s="564" t="s">
        <v>547</v>
      </c>
      <c r="C12" s="687" t="s">
        <v>680</v>
      </c>
      <c r="D12" s="688">
        <f>'[2]总投资-发采购-0411-GLP拆分场外费用(司调)'!G11</f>
        <v>97.762559999999993</v>
      </c>
      <c r="E12" s="689"/>
      <c r="F12" s="689">
        <f t="shared" si="0"/>
        <v>0</v>
      </c>
      <c r="G12" s="689">
        <f t="shared" si="1"/>
        <v>97.762559999999993</v>
      </c>
      <c r="H12" s="606" t="s">
        <v>543</v>
      </c>
      <c r="I12" s="686"/>
      <c r="J12" s="686"/>
      <c r="K12" s="697" t="s">
        <v>544</v>
      </c>
      <c r="L12" s="686"/>
      <c r="M12" s="606"/>
      <c r="N12" s="686"/>
      <c r="O12" s="686"/>
      <c r="P12" s="699"/>
      <c r="Q12" s="699"/>
      <c r="R12" s="699"/>
      <c r="S12" s="699"/>
      <c r="T12" s="707"/>
    </row>
    <row r="13" spans="1:20" hidden="1">
      <c r="A13" s="686" t="s">
        <v>148</v>
      </c>
      <c r="B13" s="564" t="s">
        <v>548</v>
      </c>
      <c r="C13" s="687" t="s">
        <v>681</v>
      </c>
      <c r="D13" s="688">
        <f>'[2]总投资-发采购-0411-GLP拆分场外费用(司调)'!G12</f>
        <v>216.47424000000001</v>
      </c>
      <c r="E13" s="689"/>
      <c r="F13" s="689">
        <f t="shared" si="0"/>
        <v>0</v>
      </c>
      <c r="G13" s="689">
        <f t="shared" si="1"/>
        <v>216.47424000000001</v>
      </c>
      <c r="H13" s="606" t="s">
        <v>543</v>
      </c>
      <c r="I13" s="686"/>
      <c r="J13" s="686"/>
      <c r="K13" s="697" t="s">
        <v>544</v>
      </c>
      <c r="L13" s="686"/>
      <c r="M13" s="606"/>
      <c r="N13" s="686"/>
      <c r="O13" s="686"/>
      <c r="P13" s="699"/>
      <c r="Q13" s="699"/>
      <c r="R13" s="699"/>
      <c r="S13" s="699"/>
      <c r="T13" s="707"/>
    </row>
    <row r="14" spans="1:20" hidden="1">
      <c r="A14" s="686" t="s">
        <v>150</v>
      </c>
      <c r="B14" s="690"/>
      <c r="C14" s="687" t="s">
        <v>682</v>
      </c>
      <c r="D14" s="688">
        <f>'[2]总投资-发采购-0411-GLP拆分场外费用(司调)'!G13</f>
        <v>59.652501722990401</v>
      </c>
      <c r="E14" s="689"/>
      <c r="F14" s="689">
        <f t="shared" si="0"/>
        <v>0</v>
      </c>
      <c r="G14" s="689">
        <f t="shared" si="1"/>
        <v>59.652501722990401</v>
      </c>
      <c r="H14" s="606" t="s">
        <v>543</v>
      </c>
      <c r="I14" s="686"/>
      <c r="J14" s="686"/>
      <c r="K14" s="697" t="s">
        <v>544</v>
      </c>
      <c r="L14" s="686"/>
      <c r="M14" s="606"/>
      <c r="N14" s="686"/>
      <c r="O14" s="686"/>
      <c r="P14" s="699"/>
      <c r="Q14" s="699"/>
      <c r="R14" s="699"/>
      <c r="S14" s="699"/>
      <c r="T14" s="707"/>
    </row>
    <row r="15" spans="1:20" hidden="1">
      <c r="A15" s="686" t="s">
        <v>152</v>
      </c>
      <c r="B15" s="690"/>
      <c r="C15" s="687" t="s">
        <v>683</v>
      </c>
      <c r="D15" s="688">
        <f>'[2]总投资-发采购-0411-GLP拆分场外费用(司调)'!G14</f>
        <v>218.22</v>
      </c>
      <c r="E15" s="689"/>
      <c r="F15" s="689">
        <f t="shared" si="0"/>
        <v>0</v>
      </c>
      <c r="G15" s="689">
        <f t="shared" si="1"/>
        <v>218.22</v>
      </c>
      <c r="H15" s="606" t="s">
        <v>543</v>
      </c>
      <c r="I15" s="686"/>
      <c r="J15" s="686"/>
      <c r="K15" s="697" t="s">
        <v>544</v>
      </c>
      <c r="L15" s="686"/>
      <c r="M15" s="606"/>
      <c r="N15" s="686"/>
      <c r="O15" s="686"/>
      <c r="P15" s="699"/>
      <c r="Q15" s="699"/>
      <c r="R15" s="699"/>
      <c r="S15" s="699"/>
      <c r="T15" s="707"/>
    </row>
    <row r="16" spans="1:20" hidden="1">
      <c r="A16" s="686" t="s">
        <v>154</v>
      </c>
      <c r="B16" s="690"/>
      <c r="C16" s="687" t="s">
        <v>684</v>
      </c>
      <c r="D16" s="688">
        <f>'[2]总投资-发采购-0411-GLP拆分场外费用(司调)'!G15</f>
        <v>1024.0038099293099</v>
      </c>
      <c r="E16" s="689"/>
      <c r="F16" s="689">
        <f t="shared" si="0"/>
        <v>0</v>
      </c>
      <c r="G16" s="689">
        <f t="shared" si="1"/>
        <v>1024.0038099293099</v>
      </c>
      <c r="H16" s="606" t="s">
        <v>543</v>
      </c>
      <c r="I16" s="686"/>
      <c r="J16" s="686"/>
      <c r="K16" s="697" t="s">
        <v>544</v>
      </c>
      <c r="L16" s="686"/>
      <c r="M16" s="606"/>
      <c r="N16" s="686"/>
      <c r="O16" s="686"/>
      <c r="P16" s="699"/>
      <c r="Q16" s="699"/>
      <c r="R16" s="699"/>
      <c r="S16" s="699"/>
      <c r="T16" s="707"/>
    </row>
    <row r="17" spans="1:20" hidden="1">
      <c r="A17" s="686" t="s">
        <v>154</v>
      </c>
      <c r="B17" s="690"/>
      <c r="C17" s="687" t="s">
        <v>685</v>
      </c>
      <c r="D17" s="688">
        <f>'[2]总投资-发采购-0411-GLP拆分场外费用(司调)'!G16</f>
        <v>38</v>
      </c>
      <c r="E17" s="689"/>
      <c r="F17" s="689">
        <f t="shared" si="0"/>
        <v>0</v>
      </c>
      <c r="G17" s="689">
        <f t="shared" si="1"/>
        <v>38</v>
      </c>
      <c r="H17" s="606" t="s">
        <v>543</v>
      </c>
      <c r="I17" s="686"/>
      <c r="J17" s="686"/>
      <c r="K17" s="697" t="s">
        <v>544</v>
      </c>
      <c r="L17" s="686"/>
      <c r="M17" s="606"/>
      <c r="N17" s="686"/>
      <c r="O17" s="686"/>
      <c r="P17" s="699"/>
      <c r="Q17" s="699"/>
      <c r="R17" s="699"/>
      <c r="S17" s="699"/>
      <c r="T17" s="707"/>
    </row>
    <row r="18" spans="1:20" hidden="1">
      <c r="A18" s="686"/>
      <c r="B18" s="690"/>
      <c r="C18" s="687" t="s">
        <v>686</v>
      </c>
      <c r="D18" s="688">
        <f>'[2]总投资-发采购-0411-GLP拆分场外费用(司调)'!G17</f>
        <v>1</v>
      </c>
      <c r="E18" s="689"/>
      <c r="F18" s="689">
        <f t="shared" si="0"/>
        <v>0</v>
      </c>
      <c r="G18" s="689">
        <f t="shared" si="1"/>
        <v>1</v>
      </c>
      <c r="H18" s="606" t="s">
        <v>543</v>
      </c>
      <c r="I18" s="686"/>
      <c r="J18" s="686"/>
      <c r="K18" s="697" t="s">
        <v>544</v>
      </c>
      <c r="L18" s="686"/>
      <c r="M18" s="606"/>
      <c r="N18" s="686"/>
      <c r="O18" s="686"/>
      <c r="P18" s="699"/>
      <c r="Q18" s="699"/>
      <c r="R18" s="699"/>
      <c r="S18" s="699"/>
      <c r="T18" s="707"/>
    </row>
    <row r="19" spans="1:20" hidden="1">
      <c r="A19" s="686"/>
      <c r="B19" s="690"/>
      <c r="C19" s="687" t="s">
        <v>687</v>
      </c>
      <c r="D19" s="688">
        <f>'[2]总投资-发采购-0411-GLP拆分场外费用(司调)'!G18</f>
        <v>4</v>
      </c>
      <c r="E19" s="689"/>
      <c r="F19" s="689">
        <f t="shared" si="0"/>
        <v>0</v>
      </c>
      <c r="G19" s="689">
        <f t="shared" si="1"/>
        <v>4</v>
      </c>
      <c r="H19" s="606" t="s">
        <v>543</v>
      </c>
      <c r="I19" s="686"/>
      <c r="J19" s="686"/>
      <c r="K19" s="697" t="s">
        <v>544</v>
      </c>
      <c r="L19" s="686"/>
      <c r="M19" s="606"/>
      <c r="N19" s="686"/>
      <c r="O19" s="686"/>
      <c r="P19" s="699"/>
      <c r="Q19" s="699"/>
      <c r="R19" s="699"/>
      <c r="S19" s="699"/>
      <c r="T19" s="707"/>
    </row>
    <row r="20" spans="1:20" hidden="1">
      <c r="A20" s="686"/>
      <c r="B20" s="691"/>
      <c r="C20" s="692" t="s">
        <v>688</v>
      </c>
      <c r="D20" s="688">
        <f>'[2]总投资-发采购-0411-GLP拆分场外费用(司调)'!G19</f>
        <v>33</v>
      </c>
      <c r="E20" s="693"/>
      <c r="F20" s="689">
        <f t="shared" si="0"/>
        <v>0</v>
      </c>
      <c r="G20" s="689">
        <f t="shared" si="1"/>
        <v>33</v>
      </c>
      <c r="H20" s="606" t="s">
        <v>543</v>
      </c>
      <c r="I20" s="686"/>
      <c r="J20" s="686"/>
      <c r="K20" s="697" t="s">
        <v>544</v>
      </c>
      <c r="L20" s="686"/>
      <c r="M20" s="606"/>
      <c r="N20" s="686"/>
      <c r="O20" s="686"/>
      <c r="P20" s="699"/>
      <c r="Q20" s="699"/>
      <c r="R20" s="699"/>
      <c r="S20" s="699"/>
      <c r="T20" s="707"/>
    </row>
    <row r="21" spans="1:20" hidden="1">
      <c r="A21" s="686" t="s">
        <v>160</v>
      </c>
      <c r="B21" s="690"/>
      <c r="C21" s="694" t="s">
        <v>689</v>
      </c>
      <c r="D21" s="688">
        <f>'[2]总投资-发采购-0411-GLP拆分场外费用(司调)'!G20</f>
        <v>481.61950000000002</v>
      </c>
      <c r="E21" s="693"/>
      <c r="F21" s="689">
        <f t="shared" si="0"/>
        <v>0</v>
      </c>
      <c r="G21" s="689">
        <f t="shared" si="1"/>
        <v>481.61950000000002</v>
      </c>
      <c r="H21" s="606" t="s">
        <v>543</v>
      </c>
      <c r="I21" s="686"/>
      <c r="J21" s="686"/>
      <c r="K21" s="697" t="s">
        <v>544</v>
      </c>
      <c r="L21" s="686"/>
      <c r="M21" s="606"/>
      <c r="N21" s="686"/>
      <c r="O21" s="686"/>
      <c r="P21" s="699"/>
      <c r="Q21" s="699"/>
      <c r="R21" s="699"/>
      <c r="S21" s="699"/>
      <c r="T21" s="707"/>
    </row>
    <row r="22" spans="1:20" hidden="1">
      <c r="A22" s="686" t="s">
        <v>162</v>
      </c>
      <c r="B22" s="690"/>
      <c r="C22" s="694" t="s">
        <v>690</v>
      </c>
      <c r="D22" s="688">
        <f>'[2]总投资-发采购-0411-GLP拆分场外费用(司调)'!G21</f>
        <v>3.3214999999999999</v>
      </c>
      <c r="E22" s="693"/>
      <c r="F22" s="689">
        <f t="shared" si="0"/>
        <v>0</v>
      </c>
      <c r="G22" s="689">
        <f t="shared" si="1"/>
        <v>3.3214999999999999</v>
      </c>
      <c r="H22" s="606" t="s">
        <v>543</v>
      </c>
      <c r="I22" s="686"/>
      <c r="J22" s="686"/>
      <c r="K22" s="697" t="s">
        <v>544</v>
      </c>
      <c r="L22" s="686"/>
      <c r="M22" s="606"/>
      <c r="N22" s="686"/>
      <c r="O22" s="686"/>
      <c r="P22" s="699"/>
      <c r="Q22" s="699"/>
      <c r="R22" s="699"/>
      <c r="S22" s="699"/>
      <c r="T22" s="707"/>
    </row>
    <row r="23" spans="1:20" hidden="1">
      <c r="A23" s="686" t="s">
        <v>164</v>
      </c>
      <c r="B23" s="690"/>
      <c r="C23" s="694" t="s">
        <v>691</v>
      </c>
      <c r="D23" s="688">
        <f>'[2]总投资-发采购-0411-GLP拆分场外费用(司调)'!G22</f>
        <v>455.52</v>
      </c>
      <c r="E23" s="693"/>
      <c r="F23" s="689">
        <f t="shared" si="0"/>
        <v>0</v>
      </c>
      <c r="G23" s="689">
        <f t="shared" si="1"/>
        <v>455.52</v>
      </c>
      <c r="H23" s="606" t="s">
        <v>543</v>
      </c>
      <c r="I23" s="686"/>
      <c r="J23" s="686"/>
      <c r="K23" s="697" t="s">
        <v>544</v>
      </c>
      <c r="L23" s="686"/>
      <c r="M23" s="606"/>
      <c r="N23" s="686"/>
      <c r="O23" s="686"/>
      <c r="P23" s="699"/>
      <c r="Q23" s="699"/>
      <c r="R23" s="699"/>
      <c r="S23" s="699"/>
      <c r="T23" s="707"/>
    </row>
    <row r="24" spans="1:20" hidden="1">
      <c r="A24" s="686" t="s">
        <v>166</v>
      </c>
      <c r="B24" s="690"/>
      <c r="C24" s="694" t="s">
        <v>692</v>
      </c>
      <c r="D24" s="688">
        <f>'[2]总投资-发采购-0411-GLP拆分场外费用(司调)'!G23</f>
        <v>2.847</v>
      </c>
      <c r="E24" s="693"/>
      <c r="F24" s="689">
        <f t="shared" si="0"/>
        <v>0</v>
      </c>
      <c r="G24" s="689">
        <f t="shared" si="1"/>
        <v>2.847</v>
      </c>
      <c r="H24" s="606" t="s">
        <v>543</v>
      </c>
      <c r="I24" s="686"/>
      <c r="J24" s="686"/>
      <c r="K24" s="697" t="s">
        <v>544</v>
      </c>
      <c r="L24" s="686"/>
      <c r="M24" s="606"/>
      <c r="N24" s="686"/>
      <c r="O24" s="686"/>
      <c r="P24" s="699"/>
      <c r="Q24" s="699"/>
      <c r="R24" s="699"/>
      <c r="S24" s="699"/>
      <c r="T24" s="707"/>
    </row>
    <row r="25" spans="1:20" hidden="1">
      <c r="A25" s="686" t="s">
        <v>168</v>
      </c>
      <c r="B25" s="690"/>
      <c r="C25" s="694" t="s">
        <v>693</v>
      </c>
      <c r="D25" s="688">
        <f>'[2]总投资-发采购-0411-GLP拆分场外费用(司调)'!G24</f>
        <v>3.7959999999999998</v>
      </c>
      <c r="E25" s="693"/>
      <c r="F25" s="689">
        <f t="shared" si="0"/>
        <v>0</v>
      </c>
      <c r="G25" s="689">
        <f t="shared" si="1"/>
        <v>3.7959999999999998</v>
      </c>
      <c r="H25" s="606" t="s">
        <v>543</v>
      </c>
      <c r="I25" s="686"/>
      <c r="J25" s="686"/>
      <c r="K25" s="697" t="s">
        <v>544</v>
      </c>
      <c r="L25" s="686"/>
      <c r="M25" s="606"/>
      <c r="N25" s="686"/>
      <c r="O25" s="686"/>
      <c r="P25" s="699"/>
      <c r="Q25" s="699"/>
      <c r="R25" s="699"/>
      <c r="S25" s="699"/>
      <c r="T25" s="707"/>
    </row>
    <row r="26" spans="1:20" hidden="1">
      <c r="A26" s="686" t="s">
        <v>170</v>
      </c>
      <c r="B26" s="690"/>
      <c r="C26" s="694" t="s">
        <v>694</v>
      </c>
      <c r="D26" s="688">
        <f>'[2]总投资-发采购-0411-GLP拆分场外费用(司调)'!G25</f>
        <v>8.5410000000000004</v>
      </c>
      <c r="E26" s="693"/>
      <c r="F26" s="689">
        <f t="shared" si="0"/>
        <v>0</v>
      </c>
      <c r="G26" s="689">
        <f t="shared" si="1"/>
        <v>8.5410000000000004</v>
      </c>
      <c r="H26" s="606" t="s">
        <v>543</v>
      </c>
      <c r="I26" s="686"/>
      <c r="J26" s="686"/>
      <c r="K26" s="697" t="s">
        <v>544</v>
      </c>
      <c r="L26" s="686"/>
      <c r="M26" s="606"/>
      <c r="N26" s="686"/>
      <c r="O26" s="686"/>
      <c r="P26" s="699"/>
      <c r="Q26" s="699"/>
      <c r="R26" s="699"/>
      <c r="S26" s="699"/>
      <c r="T26" s="707"/>
    </row>
    <row r="27" spans="1:20" hidden="1">
      <c r="A27" s="686" t="s">
        <v>172</v>
      </c>
      <c r="B27" s="690"/>
      <c r="C27" s="694" t="s">
        <v>695</v>
      </c>
      <c r="D27" s="688">
        <f>'[2]总投资-发采购-0411-GLP拆分场外费用(司调)'!G26</f>
        <v>5.694</v>
      </c>
      <c r="E27" s="693"/>
      <c r="F27" s="689">
        <f t="shared" si="0"/>
        <v>0</v>
      </c>
      <c r="G27" s="689">
        <f t="shared" si="1"/>
        <v>5.694</v>
      </c>
      <c r="H27" s="606" t="s">
        <v>543</v>
      </c>
      <c r="I27" s="686"/>
      <c r="J27" s="686"/>
      <c r="K27" s="697" t="s">
        <v>544</v>
      </c>
      <c r="L27" s="686"/>
      <c r="M27" s="606"/>
      <c r="N27" s="686"/>
      <c r="O27" s="686"/>
      <c r="P27" s="699"/>
      <c r="Q27" s="699"/>
      <c r="R27" s="699"/>
      <c r="S27" s="699"/>
      <c r="T27" s="707"/>
    </row>
    <row r="28" spans="1:20" hidden="1">
      <c r="A28" s="686" t="s">
        <v>174</v>
      </c>
      <c r="B28" s="691"/>
      <c r="C28" s="692" t="s">
        <v>696</v>
      </c>
      <c r="D28" s="688">
        <f>'[2]总投资-发采购-0411-GLP拆分场外费用(司调)'!G27</f>
        <v>1.9</v>
      </c>
      <c r="E28" s="693"/>
      <c r="F28" s="689">
        <f t="shared" si="0"/>
        <v>0</v>
      </c>
      <c r="G28" s="689">
        <f t="shared" si="1"/>
        <v>1.9</v>
      </c>
      <c r="H28" s="606" t="s">
        <v>543</v>
      </c>
      <c r="I28" s="686"/>
      <c r="J28" s="686"/>
      <c r="K28" s="697" t="s">
        <v>544</v>
      </c>
      <c r="L28" s="686"/>
      <c r="M28" s="606"/>
      <c r="N28" s="686"/>
      <c r="O28" s="686"/>
      <c r="P28" s="699"/>
      <c r="Q28" s="699"/>
      <c r="R28" s="699"/>
      <c r="S28" s="699"/>
      <c r="T28" s="707"/>
    </row>
    <row r="29" spans="1:20" hidden="1">
      <c r="A29" s="686">
        <v>1.4</v>
      </c>
      <c r="B29" s="690"/>
      <c r="C29" s="692" t="s">
        <v>697</v>
      </c>
      <c r="D29" s="688">
        <f>'[2]总投资-发采购-0411-GLP拆分场外费用(司调)'!G28</f>
        <v>463.8</v>
      </c>
      <c r="E29" s="693"/>
      <c r="F29" s="689">
        <f t="shared" si="0"/>
        <v>0</v>
      </c>
      <c r="G29" s="689">
        <f t="shared" si="1"/>
        <v>463.8</v>
      </c>
      <c r="H29" s="606" t="s">
        <v>543</v>
      </c>
      <c r="I29" s="686"/>
      <c r="J29" s="686"/>
      <c r="K29" s="697" t="s">
        <v>544</v>
      </c>
      <c r="L29" s="686"/>
      <c r="M29" s="606"/>
      <c r="N29" s="686"/>
      <c r="O29" s="686"/>
      <c r="P29" s="699"/>
      <c r="Q29" s="699"/>
      <c r="R29" s="699"/>
      <c r="S29" s="699"/>
      <c r="T29" s="707"/>
    </row>
    <row r="30" spans="1:20">
      <c r="A30" s="606" t="s">
        <v>177</v>
      </c>
      <c r="B30" s="564" t="s">
        <v>549</v>
      </c>
      <c r="C30" s="683" t="s">
        <v>550</v>
      </c>
      <c r="D30" s="684">
        <f>'[2]总投资-发采购-0411-GLP拆分场外费用(司调)'!G82</f>
        <v>13277.6976990773</v>
      </c>
      <c r="E30" s="695">
        <f>D30/$A$3</f>
        <v>1867.4680308125596</v>
      </c>
      <c r="F30" s="685">
        <f t="shared" si="0"/>
        <v>1867.4680308125596</v>
      </c>
      <c r="G30" s="685">
        <f t="shared" si="1"/>
        <v>13277.6976990773</v>
      </c>
      <c r="H30" s="606" t="s">
        <v>543</v>
      </c>
      <c r="I30" s="606" t="s">
        <v>30</v>
      </c>
      <c r="J30" s="606">
        <v>18</v>
      </c>
      <c r="K30" s="697" t="s">
        <v>31</v>
      </c>
      <c r="L30" s="606" t="s">
        <v>135</v>
      </c>
      <c r="M30" s="606"/>
      <c r="N30" s="606"/>
      <c r="O30" s="606"/>
      <c r="P30" s="698">
        <v>2025.3</v>
      </c>
      <c r="Q30" s="698">
        <v>2025.4</v>
      </c>
      <c r="R30" s="698" t="s">
        <v>136</v>
      </c>
      <c r="S30" s="698" t="s">
        <v>137</v>
      </c>
      <c r="T30" s="697"/>
    </row>
    <row r="31" spans="1:20" hidden="1">
      <c r="A31" s="686">
        <v>2.8</v>
      </c>
      <c r="B31" s="564" t="s">
        <v>546</v>
      </c>
      <c r="C31" s="696"/>
      <c r="D31" s="688">
        <f>'[2]总投资-发采购-0411-GLP拆分场外费用(司调)'!G82</f>
        <v>13277.6976990773</v>
      </c>
      <c r="E31" s="693">
        <f t="shared" ref="E31:E44" si="2">D31/$A$3</f>
        <v>1867.4680308125596</v>
      </c>
      <c r="F31" s="689">
        <f t="shared" si="0"/>
        <v>1867.4680308125596</v>
      </c>
      <c r="G31" s="689">
        <f t="shared" si="1"/>
        <v>13277.6976990773</v>
      </c>
      <c r="H31" s="606" t="s">
        <v>543</v>
      </c>
      <c r="I31" s="700"/>
      <c r="J31" s="700"/>
      <c r="K31" s="697" t="s">
        <v>544</v>
      </c>
      <c r="L31" s="700"/>
      <c r="M31" s="606"/>
      <c r="N31" s="700"/>
      <c r="O31" s="700"/>
      <c r="P31" s="701"/>
      <c r="Q31" s="701"/>
      <c r="R31" s="701"/>
      <c r="S31" s="701"/>
      <c r="T31" s="708"/>
    </row>
    <row r="32" spans="1:20" hidden="1">
      <c r="A32" s="686" t="s">
        <v>183</v>
      </c>
      <c r="B32" s="564" t="s">
        <v>27</v>
      </c>
      <c r="C32" s="696"/>
      <c r="D32" s="688">
        <f>'[2]总投资-发采购-0411-GLP拆分场外费用(司调)'!G83</f>
        <v>9630.4162214578791</v>
      </c>
      <c r="E32" s="693">
        <f t="shared" si="2"/>
        <v>1354.48892003627</v>
      </c>
      <c r="F32" s="689">
        <f t="shared" si="0"/>
        <v>1354.48892003627</v>
      </c>
      <c r="G32" s="689">
        <f t="shared" si="1"/>
        <v>9630.4162214578791</v>
      </c>
      <c r="H32" s="606" t="s">
        <v>543</v>
      </c>
      <c r="I32" s="700"/>
      <c r="J32" s="700"/>
      <c r="K32" s="697" t="s">
        <v>544</v>
      </c>
      <c r="L32" s="700"/>
      <c r="M32" s="606"/>
      <c r="N32" s="700"/>
      <c r="O32" s="700"/>
      <c r="P32" s="701"/>
      <c r="Q32" s="701"/>
      <c r="R32" s="701"/>
      <c r="S32" s="701"/>
      <c r="T32" s="708"/>
    </row>
    <row r="33" spans="1:20" hidden="1">
      <c r="A33" s="686" t="s">
        <v>184</v>
      </c>
      <c r="B33" s="564" t="s">
        <v>36</v>
      </c>
      <c r="C33" s="696"/>
      <c r="D33" s="688">
        <f>'[2]总投资-发采购-0411-GLP拆分场外费用(司调)'!G84</f>
        <v>32.506880000000002</v>
      </c>
      <c r="E33" s="693">
        <f t="shared" si="2"/>
        <v>4.5719943741209566</v>
      </c>
      <c r="F33" s="689">
        <f t="shared" si="0"/>
        <v>4.5719943741209566</v>
      </c>
      <c r="G33" s="689">
        <f t="shared" si="1"/>
        <v>32.506880000000002</v>
      </c>
      <c r="H33" s="606" t="s">
        <v>543</v>
      </c>
      <c r="I33" s="700"/>
      <c r="J33" s="700"/>
      <c r="K33" s="697" t="s">
        <v>544</v>
      </c>
      <c r="L33" s="700"/>
      <c r="M33" s="606"/>
      <c r="N33" s="700"/>
      <c r="O33" s="700"/>
      <c r="P33" s="701"/>
      <c r="Q33" s="701"/>
      <c r="R33" s="701"/>
      <c r="S33" s="701"/>
      <c r="T33" s="708"/>
    </row>
    <row r="34" spans="1:20" hidden="1">
      <c r="A34" s="686" t="s">
        <v>185</v>
      </c>
      <c r="B34" s="564" t="s">
        <v>551</v>
      </c>
      <c r="C34" s="696"/>
      <c r="D34" s="688">
        <f>'[2]总投资-发采购-0411-GLP拆分场外费用(司调)'!G85</f>
        <v>292.56191999999999</v>
      </c>
      <c r="E34" s="693">
        <f t="shared" si="2"/>
        <v>41.147949367088607</v>
      </c>
      <c r="F34" s="689">
        <f t="shared" si="0"/>
        <v>41.147949367088607</v>
      </c>
      <c r="G34" s="689">
        <f t="shared" si="1"/>
        <v>292.56191999999999</v>
      </c>
      <c r="H34" s="606" t="s">
        <v>543</v>
      </c>
      <c r="I34" s="700"/>
      <c r="J34" s="700"/>
      <c r="K34" s="697" t="s">
        <v>544</v>
      </c>
      <c r="L34" s="700"/>
      <c r="M34" s="606"/>
      <c r="N34" s="700"/>
      <c r="O34" s="700"/>
      <c r="P34" s="701"/>
      <c r="Q34" s="701"/>
      <c r="R34" s="701"/>
      <c r="S34" s="701"/>
      <c r="T34" s="708"/>
    </row>
    <row r="35" spans="1:20" hidden="1">
      <c r="A35" s="686" t="s">
        <v>186</v>
      </c>
      <c r="B35" s="564" t="s">
        <v>552</v>
      </c>
      <c r="C35" s="696"/>
      <c r="D35" s="688">
        <f>'[2]总投资-发采购-0411-GLP拆分场外费用(司调)'!G86</f>
        <v>227.54816</v>
      </c>
      <c r="E35" s="693">
        <f t="shared" si="2"/>
        <v>32.003960618846691</v>
      </c>
      <c r="F35" s="689">
        <f t="shared" si="0"/>
        <v>32.003960618846691</v>
      </c>
      <c r="G35" s="689">
        <f t="shared" si="1"/>
        <v>227.54816</v>
      </c>
      <c r="H35" s="606" t="s">
        <v>543</v>
      </c>
      <c r="I35" s="700"/>
      <c r="J35" s="700"/>
      <c r="K35" s="697" t="s">
        <v>544</v>
      </c>
      <c r="L35" s="700"/>
      <c r="M35" s="606"/>
      <c r="N35" s="700"/>
      <c r="O35" s="700"/>
      <c r="P35" s="701"/>
      <c r="Q35" s="701"/>
      <c r="R35" s="701"/>
      <c r="S35" s="701"/>
      <c r="T35" s="708"/>
    </row>
    <row r="36" spans="1:20" hidden="1">
      <c r="A36" s="686" t="s">
        <v>187</v>
      </c>
      <c r="B36" s="564" t="s">
        <v>553</v>
      </c>
      <c r="C36" s="696"/>
      <c r="D36" s="688">
        <f>'[2]总投资-发采购-0411-GLP拆分场外费用(司调)'!G87</f>
        <v>503.85664000000003</v>
      </c>
      <c r="E36" s="693">
        <f t="shared" si="2"/>
        <v>70.865912798874831</v>
      </c>
      <c r="F36" s="689">
        <f t="shared" si="0"/>
        <v>70.865912798874831</v>
      </c>
      <c r="G36" s="689">
        <f t="shared" si="1"/>
        <v>503.85664000000003</v>
      </c>
      <c r="H36" s="606" t="s">
        <v>543</v>
      </c>
      <c r="I36" s="700"/>
      <c r="J36" s="700"/>
      <c r="K36" s="697" t="s">
        <v>544</v>
      </c>
      <c r="L36" s="700"/>
      <c r="M36" s="606"/>
      <c r="N36" s="700"/>
      <c r="O36" s="700"/>
      <c r="P36" s="701"/>
      <c r="Q36" s="701"/>
      <c r="R36" s="701"/>
      <c r="S36" s="701"/>
      <c r="T36" s="708"/>
    </row>
    <row r="37" spans="1:20" hidden="1">
      <c r="A37" s="686" t="s">
        <v>188</v>
      </c>
      <c r="B37" s="564" t="s">
        <v>554</v>
      </c>
      <c r="C37" s="696"/>
      <c r="D37" s="688">
        <f>'[2]总投资-发采购-0411-GLP拆分场外费用(司调)'!G88</f>
        <v>138.84473776528901</v>
      </c>
      <c r="E37" s="693">
        <f t="shared" si="2"/>
        <v>19.528092512698876</v>
      </c>
      <c r="F37" s="689">
        <f t="shared" si="0"/>
        <v>19.528092512698876</v>
      </c>
      <c r="G37" s="689">
        <f t="shared" si="1"/>
        <v>138.84473776528901</v>
      </c>
      <c r="H37" s="606" t="s">
        <v>543</v>
      </c>
      <c r="I37" s="700"/>
      <c r="J37" s="700"/>
      <c r="K37" s="697" t="s">
        <v>544</v>
      </c>
      <c r="L37" s="700"/>
      <c r="M37" s="606"/>
      <c r="N37" s="700"/>
      <c r="O37" s="700"/>
      <c r="P37" s="701"/>
      <c r="Q37" s="701"/>
      <c r="R37" s="701"/>
      <c r="S37" s="701"/>
      <c r="T37" s="708"/>
    </row>
    <row r="38" spans="1:20" hidden="1">
      <c r="A38" s="686" t="s">
        <v>189</v>
      </c>
      <c r="B38" s="564" t="s">
        <v>555</v>
      </c>
      <c r="C38" s="696"/>
      <c r="D38" s="688">
        <f>'[2]总投资-发采购-0411-GLP拆分场外费用(司调)'!G89</f>
        <v>507.92</v>
      </c>
      <c r="E38" s="693">
        <f t="shared" si="2"/>
        <v>71.437412095639942</v>
      </c>
      <c r="F38" s="689">
        <f t="shared" si="0"/>
        <v>71.437412095639942</v>
      </c>
      <c r="G38" s="689">
        <f t="shared" si="1"/>
        <v>507.92</v>
      </c>
      <c r="H38" s="606" t="s">
        <v>543</v>
      </c>
      <c r="I38" s="700"/>
      <c r="J38" s="700"/>
      <c r="K38" s="697" t="s">
        <v>544</v>
      </c>
      <c r="L38" s="700"/>
      <c r="M38" s="606"/>
      <c r="N38" s="700"/>
      <c r="O38" s="700"/>
      <c r="P38" s="701"/>
      <c r="Q38" s="701"/>
      <c r="R38" s="701"/>
      <c r="S38" s="701"/>
      <c r="T38" s="708"/>
    </row>
    <row r="39" spans="1:20" hidden="1">
      <c r="A39" s="686"/>
      <c r="B39" s="564" t="s">
        <v>556</v>
      </c>
      <c r="C39" s="696"/>
      <c r="D39" s="688">
        <f>'[2]总投资-发采购-0411-GLP拆分场外费用(司调)'!G90</f>
        <v>1881.04313985413</v>
      </c>
      <c r="E39" s="693">
        <f t="shared" si="2"/>
        <v>264.56302951534877</v>
      </c>
      <c r="F39" s="689">
        <f t="shared" si="0"/>
        <v>264.56302951534877</v>
      </c>
      <c r="G39" s="689">
        <f t="shared" si="1"/>
        <v>1881.04313985413</v>
      </c>
      <c r="H39" s="606" t="s">
        <v>543</v>
      </c>
      <c r="I39" s="700"/>
      <c r="J39" s="700"/>
      <c r="K39" s="697" t="s">
        <v>544</v>
      </c>
      <c r="L39" s="700"/>
      <c r="M39" s="606"/>
      <c r="N39" s="700"/>
      <c r="O39" s="700"/>
      <c r="P39" s="701"/>
      <c r="Q39" s="701"/>
      <c r="R39" s="701"/>
      <c r="S39" s="701"/>
      <c r="T39" s="708"/>
    </row>
    <row r="40" spans="1:20" hidden="1">
      <c r="A40" s="686" t="s">
        <v>190</v>
      </c>
      <c r="B40" s="564" t="s">
        <v>557</v>
      </c>
      <c r="C40" s="696"/>
      <c r="D40" s="688">
        <f>'[2]总投资-发采购-0411-GLP拆分场外费用(司调)'!G91</f>
        <v>63</v>
      </c>
      <c r="E40" s="693">
        <f t="shared" si="2"/>
        <v>8.8607594936708853</v>
      </c>
      <c r="F40" s="689">
        <f t="shared" si="0"/>
        <v>8.8607594936708853</v>
      </c>
      <c r="G40" s="689">
        <f t="shared" si="1"/>
        <v>63</v>
      </c>
      <c r="H40" s="606" t="s">
        <v>543</v>
      </c>
      <c r="I40" s="700"/>
      <c r="J40" s="700"/>
      <c r="K40" s="697" t="s">
        <v>544</v>
      </c>
      <c r="L40" s="700"/>
      <c r="M40" s="606"/>
      <c r="N40" s="700"/>
      <c r="O40" s="700"/>
      <c r="P40" s="701"/>
      <c r="Q40" s="701"/>
      <c r="R40" s="701"/>
      <c r="S40" s="701"/>
      <c r="T40" s="708"/>
    </row>
    <row r="41" spans="1:20" hidden="1">
      <c r="A41" s="686"/>
      <c r="B41" s="564" t="s">
        <v>558</v>
      </c>
      <c r="C41" s="696"/>
      <c r="D41" s="688">
        <f>'[2]总投资-发采购-0411-GLP拆分场外费用(司调)'!G92</f>
        <v>1</v>
      </c>
      <c r="E41" s="693">
        <f t="shared" si="2"/>
        <v>0.14064697609001406</v>
      </c>
      <c r="F41" s="689">
        <f t="shared" si="0"/>
        <v>0.14064697609001406</v>
      </c>
      <c r="G41" s="689">
        <f t="shared" si="1"/>
        <v>1</v>
      </c>
      <c r="H41" s="606" t="s">
        <v>543</v>
      </c>
      <c r="I41" s="700"/>
      <c r="J41" s="700"/>
      <c r="K41" s="697" t="s">
        <v>544</v>
      </c>
      <c r="L41" s="700"/>
      <c r="M41" s="606"/>
      <c r="N41" s="700"/>
      <c r="O41" s="700"/>
      <c r="P41" s="701"/>
      <c r="Q41" s="701"/>
      <c r="R41" s="701"/>
      <c r="S41" s="701"/>
      <c r="T41" s="708"/>
    </row>
    <row r="42" spans="1:20" hidden="1">
      <c r="A42" s="686"/>
      <c r="B42" s="564" t="s">
        <v>559</v>
      </c>
      <c r="C42" s="696"/>
      <c r="D42" s="688">
        <f>'[2]总投资-发采购-0411-GLP拆分场外费用(司调)'!G93</f>
        <v>11</v>
      </c>
      <c r="E42" s="693">
        <f t="shared" si="2"/>
        <v>1.5471167369901546</v>
      </c>
      <c r="F42" s="689">
        <f t="shared" si="0"/>
        <v>1.5471167369901546</v>
      </c>
      <c r="G42" s="689">
        <f t="shared" si="1"/>
        <v>11</v>
      </c>
      <c r="H42" s="606" t="s">
        <v>543</v>
      </c>
      <c r="I42" s="700"/>
      <c r="J42" s="700"/>
      <c r="K42" s="697" t="s">
        <v>544</v>
      </c>
      <c r="L42" s="700"/>
      <c r="M42" s="606"/>
      <c r="N42" s="700"/>
      <c r="O42" s="700"/>
      <c r="P42" s="701"/>
      <c r="Q42" s="701"/>
      <c r="R42" s="701"/>
      <c r="S42" s="701"/>
      <c r="T42" s="708"/>
    </row>
    <row r="43" spans="1:20" hidden="1">
      <c r="A43" s="686"/>
      <c r="B43" s="564" t="s">
        <v>560</v>
      </c>
      <c r="C43" s="696"/>
      <c r="D43" s="688">
        <f>'[2]总投资-发采购-0411-GLP拆分场外费用(司调)'!G94</f>
        <v>51</v>
      </c>
      <c r="E43" s="693">
        <f t="shared" si="2"/>
        <v>7.1729957805907167</v>
      </c>
      <c r="F43" s="689">
        <f t="shared" si="0"/>
        <v>7.1729957805907167</v>
      </c>
      <c r="G43" s="689">
        <f t="shared" si="1"/>
        <v>51</v>
      </c>
      <c r="H43" s="606" t="s">
        <v>543</v>
      </c>
      <c r="I43" s="700"/>
      <c r="J43" s="700"/>
      <c r="K43" s="697" t="s">
        <v>544</v>
      </c>
      <c r="L43" s="700"/>
      <c r="M43" s="606"/>
      <c r="N43" s="700"/>
      <c r="O43" s="700"/>
      <c r="P43" s="701"/>
      <c r="Q43" s="701"/>
      <c r="R43" s="701"/>
      <c r="S43" s="701"/>
      <c r="T43" s="708"/>
    </row>
    <row r="44" spans="1:20" ht="26.4">
      <c r="A44" s="606" t="s">
        <v>26</v>
      </c>
      <c r="B44" s="564" t="s">
        <v>561</v>
      </c>
      <c r="C44" s="683" t="s">
        <v>562</v>
      </c>
      <c r="D44" s="684">
        <f>SUM('[2]总投资-发采购-0411-GLP拆分场外费用(司调)'!G173,'[2]总投资-发采购-0411-GLP拆分场外费用(司调)'!G186,'[2]总投资-发采购-0411-GLP拆分场外费用(司调)'!G202)</f>
        <v>25772.963395329403</v>
      </c>
      <c r="E44" s="695">
        <f t="shared" si="2"/>
        <v>3624.889366431702</v>
      </c>
      <c r="F44" s="685">
        <f t="shared" si="0"/>
        <v>3624.889366431702</v>
      </c>
      <c r="G44" s="685">
        <f t="shared" si="1"/>
        <v>25772.963395329403</v>
      </c>
      <c r="H44" s="606" t="s">
        <v>543</v>
      </c>
      <c r="I44" s="606" t="s">
        <v>30</v>
      </c>
      <c r="J44" s="606">
        <v>18</v>
      </c>
      <c r="K44" s="697" t="s">
        <v>31</v>
      </c>
      <c r="L44" s="606" t="s">
        <v>135</v>
      </c>
      <c r="M44" s="606"/>
      <c r="N44" s="606"/>
      <c r="O44" s="606"/>
      <c r="P44" s="698">
        <v>2025.3</v>
      </c>
      <c r="Q44" s="698">
        <v>2025.4</v>
      </c>
      <c r="R44" s="698" t="s">
        <v>136</v>
      </c>
      <c r="S44" s="698">
        <v>2026.12</v>
      </c>
      <c r="T44" s="697"/>
    </row>
    <row r="45" spans="1:20" hidden="1">
      <c r="A45" s="686">
        <v>2.15</v>
      </c>
      <c r="B45" s="564" t="s">
        <v>563</v>
      </c>
      <c r="C45" s="687"/>
      <c r="D45" s="688">
        <f>'[2]总投资-发采购-0411-GLP拆分场外费用(司调)'!G173</f>
        <v>11277.360138763701</v>
      </c>
      <c r="E45" s="693">
        <f t="shared" ref="E45:E71" si="3">D45/$A$3</f>
        <v>1586.1266017951759</v>
      </c>
      <c r="F45" s="689">
        <f t="shared" si="0"/>
        <v>1586.1266017951759</v>
      </c>
      <c r="G45" s="689">
        <f t="shared" si="1"/>
        <v>11277.360138763701</v>
      </c>
      <c r="H45" s="606" t="s">
        <v>543</v>
      </c>
      <c r="I45" s="686" t="s">
        <v>30</v>
      </c>
      <c r="J45" s="686" t="s">
        <v>705</v>
      </c>
      <c r="K45" s="697" t="s">
        <v>544</v>
      </c>
      <c r="L45" s="686" t="s">
        <v>707</v>
      </c>
      <c r="M45" s="606"/>
      <c r="N45" s="686"/>
      <c r="O45" s="686"/>
      <c r="P45" s="699">
        <v>2025.3</v>
      </c>
      <c r="Q45" s="699">
        <v>2025.4</v>
      </c>
      <c r="R45" s="699" t="s">
        <v>136</v>
      </c>
      <c r="S45" s="699">
        <v>2026.12</v>
      </c>
      <c r="T45" s="707"/>
    </row>
    <row r="46" spans="1:20" hidden="1">
      <c r="A46" s="686" t="s">
        <v>198</v>
      </c>
      <c r="B46" s="564" t="s">
        <v>564</v>
      </c>
      <c r="C46" s="687"/>
      <c r="D46" s="688">
        <f>'[2]总投资-发采购-0411-GLP拆分场外费用(司调)'!G174</f>
        <v>8671.0150149573092</v>
      </c>
      <c r="E46" s="693">
        <f t="shared" si="3"/>
        <v>1219.5520414848536</v>
      </c>
      <c r="F46" s="689">
        <f t="shared" si="0"/>
        <v>1219.5520414848536</v>
      </c>
      <c r="G46" s="689">
        <f t="shared" si="1"/>
        <v>8671.0150149573092</v>
      </c>
      <c r="H46" s="606" t="s">
        <v>543</v>
      </c>
      <c r="I46" s="686" t="s">
        <v>30</v>
      </c>
      <c r="J46" s="686" t="s">
        <v>705</v>
      </c>
      <c r="K46" s="697" t="s">
        <v>544</v>
      </c>
      <c r="L46" s="686" t="s">
        <v>707</v>
      </c>
      <c r="M46" s="606"/>
      <c r="N46" s="686"/>
      <c r="O46" s="686"/>
      <c r="P46" s="699">
        <v>2025.3</v>
      </c>
      <c r="Q46" s="699">
        <v>2025.4</v>
      </c>
      <c r="R46" s="699" t="s">
        <v>136</v>
      </c>
      <c r="S46" s="699">
        <v>2026.12</v>
      </c>
      <c r="T46" s="707"/>
    </row>
    <row r="47" spans="1:20" hidden="1">
      <c r="A47" s="686" t="s">
        <v>199</v>
      </c>
      <c r="B47" s="564" t="s">
        <v>565</v>
      </c>
      <c r="C47" s="687"/>
      <c r="D47" s="688">
        <f>'[2]总投资-发采购-0411-GLP拆分场外费用(司调)'!G175</f>
        <v>29.26848</v>
      </c>
      <c r="E47" s="693">
        <f t="shared" si="3"/>
        <v>4.1165232067510544</v>
      </c>
      <c r="F47" s="689">
        <f t="shared" si="0"/>
        <v>4.1165232067510544</v>
      </c>
      <c r="G47" s="689">
        <f t="shared" si="1"/>
        <v>29.26848</v>
      </c>
      <c r="H47" s="606" t="s">
        <v>543</v>
      </c>
      <c r="I47" s="686" t="s">
        <v>30</v>
      </c>
      <c r="J47" s="686" t="s">
        <v>705</v>
      </c>
      <c r="K47" s="697" t="s">
        <v>544</v>
      </c>
      <c r="L47" s="686" t="s">
        <v>707</v>
      </c>
      <c r="M47" s="606"/>
      <c r="N47" s="686"/>
      <c r="O47" s="686"/>
      <c r="P47" s="699">
        <v>2025.3</v>
      </c>
      <c r="Q47" s="699">
        <v>2025.4</v>
      </c>
      <c r="R47" s="699" t="s">
        <v>136</v>
      </c>
      <c r="S47" s="699">
        <v>2026.12</v>
      </c>
      <c r="T47" s="707"/>
    </row>
    <row r="48" spans="1:20" hidden="1">
      <c r="A48" s="686" t="s">
        <v>200</v>
      </c>
      <c r="B48" s="564" t="s">
        <v>566</v>
      </c>
      <c r="C48" s="687"/>
      <c r="D48" s="688">
        <f>'[2]总投资-发采购-0411-GLP拆分场外费用(司调)'!G176</f>
        <v>263.41631999999998</v>
      </c>
      <c r="E48" s="693">
        <f t="shared" si="3"/>
        <v>37.04870886075949</v>
      </c>
      <c r="F48" s="689">
        <f t="shared" si="0"/>
        <v>37.04870886075949</v>
      </c>
      <c r="G48" s="689">
        <f t="shared" si="1"/>
        <v>263.41631999999998</v>
      </c>
      <c r="H48" s="606" t="s">
        <v>543</v>
      </c>
      <c r="I48" s="686" t="s">
        <v>30</v>
      </c>
      <c r="J48" s="686" t="s">
        <v>705</v>
      </c>
      <c r="K48" s="697" t="s">
        <v>544</v>
      </c>
      <c r="L48" s="686" t="s">
        <v>707</v>
      </c>
      <c r="M48" s="606"/>
      <c r="N48" s="686"/>
      <c r="O48" s="686"/>
      <c r="P48" s="699">
        <v>2025.3</v>
      </c>
      <c r="Q48" s="699">
        <v>2025.4</v>
      </c>
      <c r="R48" s="699" t="s">
        <v>136</v>
      </c>
      <c r="S48" s="699">
        <v>2026.12</v>
      </c>
      <c r="T48" s="707"/>
    </row>
    <row r="49" spans="1:20" hidden="1">
      <c r="A49" s="686" t="s">
        <v>201</v>
      </c>
      <c r="B49" s="564" t="s">
        <v>567</v>
      </c>
      <c r="C49" s="687"/>
      <c r="D49" s="688">
        <f>'[2]总投资-发采购-0411-GLP拆分场外费用(司调)'!G177</f>
        <v>204.87935999999999</v>
      </c>
      <c r="E49" s="693">
        <f t="shared" si="3"/>
        <v>28.815662447257381</v>
      </c>
      <c r="F49" s="689">
        <f t="shared" si="0"/>
        <v>28.815662447257381</v>
      </c>
      <c r="G49" s="689">
        <f t="shared" si="1"/>
        <v>204.87935999999999</v>
      </c>
      <c r="H49" s="606" t="s">
        <v>543</v>
      </c>
      <c r="I49" s="686" t="s">
        <v>30</v>
      </c>
      <c r="J49" s="686" t="s">
        <v>705</v>
      </c>
      <c r="K49" s="697" t="s">
        <v>544</v>
      </c>
      <c r="L49" s="686" t="s">
        <v>707</v>
      </c>
      <c r="M49" s="606"/>
      <c r="N49" s="686"/>
      <c r="O49" s="686"/>
      <c r="P49" s="699">
        <v>2025.3</v>
      </c>
      <c r="Q49" s="699">
        <v>2025.4</v>
      </c>
      <c r="R49" s="699" t="s">
        <v>136</v>
      </c>
      <c r="S49" s="699">
        <v>2026.12</v>
      </c>
      <c r="T49" s="707"/>
    </row>
    <row r="50" spans="1:20" hidden="1">
      <c r="A50" s="686" t="s">
        <v>202</v>
      </c>
      <c r="B50" s="564" t="s">
        <v>568</v>
      </c>
      <c r="C50" s="687"/>
      <c r="D50" s="688">
        <f>'[2]总投资-发采购-0411-GLP拆分场外费用(司调)'!G178</f>
        <v>453.66144000000003</v>
      </c>
      <c r="E50" s="693">
        <f t="shared" si="3"/>
        <v>63.806109704641351</v>
      </c>
      <c r="F50" s="689">
        <f t="shared" si="0"/>
        <v>63.806109704641351</v>
      </c>
      <c r="G50" s="689">
        <f t="shared" si="1"/>
        <v>453.66144000000003</v>
      </c>
      <c r="H50" s="606" t="s">
        <v>543</v>
      </c>
      <c r="I50" s="686" t="s">
        <v>30</v>
      </c>
      <c r="J50" s="686" t="s">
        <v>705</v>
      </c>
      <c r="K50" s="697" t="s">
        <v>544</v>
      </c>
      <c r="L50" s="686" t="s">
        <v>707</v>
      </c>
      <c r="M50" s="606"/>
      <c r="N50" s="686"/>
      <c r="O50" s="686"/>
      <c r="P50" s="699">
        <v>2025.3</v>
      </c>
      <c r="Q50" s="699">
        <v>2025.4</v>
      </c>
      <c r="R50" s="699" t="s">
        <v>136</v>
      </c>
      <c r="S50" s="699">
        <v>2026.12</v>
      </c>
      <c r="T50" s="707"/>
    </row>
    <row r="51" spans="1:20" hidden="1">
      <c r="A51" s="686" t="s">
        <v>203</v>
      </c>
      <c r="B51" s="564" t="s">
        <v>569</v>
      </c>
      <c r="C51" s="687"/>
      <c r="D51" s="688">
        <f>'[2]总投资-发采购-0411-GLP拆分场外费用(司调)'!G179</f>
        <v>125.01274900539801</v>
      </c>
      <c r="E51" s="693">
        <f t="shared" si="3"/>
        <v>17.582665120309141</v>
      </c>
      <c r="F51" s="689">
        <f t="shared" si="0"/>
        <v>17.582665120309141</v>
      </c>
      <c r="G51" s="689">
        <f t="shared" si="1"/>
        <v>125.01274900539801</v>
      </c>
      <c r="H51" s="606" t="s">
        <v>543</v>
      </c>
      <c r="I51" s="686" t="s">
        <v>30</v>
      </c>
      <c r="J51" s="686" t="s">
        <v>705</v>
      </c>
      <c r="K51" s="697" t="s">
        <v>544</v>
      </c>
      <c r="L51" s="686" t="s">
        <v>707</v>
      </c>
      <c r="M51" s="606"/>
      <c r="N51" s="686"/>
      <c r="O51" s="686"/>
      <c r="P51" s="699">
        <v>2025.3</v>
      </c>
      <c r="Q51" s="699">
        <v>2025.4</v>
      </c>
      <c r="R51" s="699" t="s">
        <v>136</v>
      </c>
      <c r="S51" s="699">
        <v>2026.12</v>
      </c>
      <c r="T51" s="707"/>
    </row>
    <row r="52" spans="1:20" hidden="1">
      <c r="A52" s="686" t="s">
        <v>204</v>
      </c>
      <c r="B52" s="564" t="s">
        <v>570</v>
      </c>
      <c r="C52" s="687"/>
      <c r="D52" s="688">
        <f>'[2]总投资-发采购-0411-GLP拆分场外费用(司调)'!G180</f>
        <v>457.32</v>
      </c>
      <c r="E52" s="693">
        <f t="shared" si="3"/>
        <v>64.320675105485222</v>
      </c>
      <c r="F52" s="689">
        <f t="shared" si="0"/>
        <v>64.320675105485222</v>
      </c>
      <c r="G52" s="689">
        <f t="shared" si="1"/>
        <v>457.32</v>
      </c>
      <c r="H52" s="606" t="s">
        <v>543</v>
      </c>
      <c r="I52" s="686" t="s">
        <v>30</v>
      </c>
      <c r="J52" s="686" t="s">
        <v>705</v>
      </c>
      <c r="K52" s="697" t="s">
        <v>544</v>
      </c>
      <c r="L52" s="686" t="s">
        <v>707</v>
      </c>
      <c r="M52" s="606"/>
      <c r="N52" s="686"/>
      <c r="O52" s="686"/>
      <c r="P52" s="699">
        <v>2025.3</v>
      </c>
      <c r="Q52" s="699">
        <v>2025.4</v>
      </c>
      <c r="R52" s="699" t="s">
        <v>136</v>
      </c>
      <c r="S52" s="699">
        <v>2026.12</v>
      </c>
      <c r="T52" s="707"/>
    </row>
    <row r="53" spans="1:20" hidden="1">
      <c r="A53" s="686"/>
      <c r="B53" s="564" t="s">
        <v>571</v>
      </c>
      <c r="C53" s="687"/>
      <c r="D53" s="688">
        <f>'[2]总投资-发采购-0411-GLP拆分场外费用(司调)'!G181</f>
        <v>1015.78677480099</v>
      </c>
      <c r="E53" s="693">
        <f t="shared" si="3"/>
        <v>142.86733822798732</v>
      </c>
      <c r="F53" s="689">
        <f t="shared" si="0"/>
        <v>142.86733822798732</v>
      </c>
      <c r="G53" s="689">
        <f t="shared" si="1"/>
        <v>1015.78677480099</v>
      </c>
      <c r="H53" s="606" t="s">
        <v>543</v>
      </c>
      <c r="I53" s="686"/>
      <c r="J53" s="686"/>
      <c r="K53" s="697" t="s">
        <v>544</v>
      </c>
      <c r="L53" s="686"/>
      <c r="M53" s="606"/>
      <c r="N53" s="686"/>
      <c r="O53" s="686"/>
      <c r="P53" s="699"/>
      <c r="Q53" s="699"/>
      <c r="R53" s="699"/>
      <c r="S53" s="699"/>
      <c r="T53" s="707"/>
    </row>
    <row r="54" spans="1:20" hidden="1">
      <c r="A54" s="686" t="s">
        <v>206</v>
      </c>
      <c r="B54" s="564" t="s">
        <v>572</v>
      </c>
      <c r="C54" s="687"/>
      <c r="D54" s="688">
        <f>'[2]总投资-发采购-0411-GLP拆分场外费用(司调)'!G182</f>
        <v>57</v>
      </c>
      <c r="E54" s="693">
        <f t="shared" si="3"/>
        <v>8.0168776371308006</v>
      </c>
      <c r="F54" s="689">
        <f t="shared" si="0"/>
        <v>8.0168776371308006</v>
      </c>
      <c r="G54" s="689">
        <f t="shared" si="1"/>
        <v>57</v>
      </c>
      <c r="H54" s="606" t="s">
        <v>543</v>
      </c>
      <c r="I54" s="686" t="s">
        <v>30</v>
      </c>
      <c r="J54" s="686" t="s">
        <v>705</v>
      </c>
      <c r="K54" s="697" t="s">
        <v>544</v>
      </c>
      <c r="L54" s="686" t="s">
        <v>707</v>
      </c>
      <c r="M54" s="606"/>
      <c r="N54" s="686"/>
      <c r="O54" s="686"/>
      <c r="P54" s="699">
        <v>2025.3</v>
      </c>
      <c r="Q54" s="699">
        <v>2025.4</v>
      </c>
      <c r="R54" s="699" t="s">
        <v>136</v>
      </c>
      <c r="S54" s="699">
        <v>2026.12</v>
      </c>
      <c r="T54" s="707"/>
    </row>
    <row r="55" spans="1:20" hidden="1">
      <c r="A55" s="686"/>
      <c r="B55" s="564" t="s">
        <v>573</v>
      </c>
      <c r="C55" s="687"/>
      <c r="D55" s="688">
        <f>'[2]总投资-发采购-0411-GLP拆分场外费用(司调)'!G183</f>
        <v>1</v>
      </c>
      <c r="E55" s="693">
        <f t="shared" si="3"/>
        <v>0.14064697609001406</v>
      </c>
      <c r="F55" s="689">
        <f t="shared" si="0"/>
        <v>0.14064697609001406</v>
      </c>
      <c r="G55" s="689">
        <f t="shared" si="1"/>
        <v>1</v>
      </c>
      <c r="H55" s="606" t="s">
        <v>543</v>
      </c>
      <c r="I55" s="686" t="s">
        <v>30</v>
      </c>
      <c r="J55" s="686" t="s">
        <v>705</v>
      </c>
      <c r="K55" s="697" t="s">
        <v>544</v>
      </c>
      <c r="L55" s="686" t="s">
        <v>707</v>
      </c>
      <c r="M55" s="606"/>
      <c r="N55" s="686"/>
      <c r="O55" s="686"/>
      <c r="P55" s="699">
        <v>2025.3</v>
      </c>
      <c r="Q55" s="699">
        <v>2025.4</v>
      </c>
      <c r="R55" s="699" t="s">
        <v>136</v>
      </c>
      <c r="S55" s="699">
        <v>2026.12</v>
      </c>
      <c r="T55" s="707"/>
    </row>
    <row r="56" spans="1:20" hidden="1">
      <c r="A56" s="686"/>
      <c r="B56" s="564" t="s">
        <v>574</v>
      </c>
      <c r="C56" s="687"/>
      <c r="D56" s="688">
        <f>'[2]总投资-发采购-0411-GLP拆分场外费用(司调)'!G184</f>
        <v>9</v>
      </c>
      <c r="E56" s="693">
        <f t="shared" si="3"/>
        <v>1.2658227848101264</v>
      </c>
      <c r="F56" s="689">
        <f t="shared" si="0"/>
        <v>1.2658227848101264</v>
      </c>
      <c r="G56" s="689">
        <f t="shared" si="1"/>
        <v>9</v>
      </c>
      <c r="H56" s="606" t="s">
        <v>543</v>
      </c>
      <c r="I56" s="686" t="s">
        <v>30</v>
      </c>
      <c r="J56" s="686" t="s">
        <v>705</v>
      </c>
      <c r="K56" s="697" t="s">
        <v>544</v>
      </c>
      <c r="L56" s="686" t="s">
        <v>707</v>
      </c>
      <c r="M56" s="606"/>
      <c r="N56" s="686"/>
      <c r="O56" s="686"/>
      <c r="P56" s="699">
        <v>2025.3</v>
      </c>
      <c r="Q56" s="699">
        <v>2025.4</v>
      </c>
      <c r="R56" s="699" t="s">
        <v>136</v>
      </c>
      <c r="S56" s="699">
        <v>2026.12</v>
      </c>
      <c r="T56" s="707"/>
    </row>
    <row r="57" spans="1:20" hidden="1">
      <c r="A57" s="686"/>
      <c r="B57" s="564" t="s">
        <v>575</v>
      </c>
      <c r="C57" s="687"/>
      <c r="D57" s="688">
        <f>'[2]总投资-发采购-0411-GLP拆分场外费用(司调)'!G185</f>
        <v>47</v>
      </c>
      <c r="E57" s="693">
        <f t="shared" si="3"/>
        <v>6.6104078762306608</v>
      </c>
      <c r="F57" s="689">
        <f t="shared" si="0"/>
        <v>6.6104078762306608</v>
      </c>
      <c r="G57" s="689">
        <f t="shared" si="1"/>
        <v>47</v>
      </c>
      <c r="H57" s="606" t="s">
        <v>543</v>
      </c>
      <c r="I57" s="686" t="s">
        <v>30</v>
      </c>
      <c r="J57" s="686" t="s">
        <v>705</v>
      </c>
      <c r="K57" s="697" t="s">
        <v>544</v>
      </c>
      <c r="L57" s="686" t="s">
        <v>707</v>
      </c>
      <c r="M57" s="606"/>
      <c r="N57" s="686"/>
      <c r="O57" s="686"/>
      <c r="P57" s="699">
        <v>2025.3</v>
      </c>
      <c r="Q57" s="699">
        <v>2025.4</v>
      </c>
      <c r="R57" s="699" t="s">
        <v>136</v>
      </c>
      <c r="S57" s="699">
        <v>2026.12</v>
      </c>
      <c r="T57" s="707"/>
    </row>
    <row r="58" spans="1:20" hidden="1">
      <c r="A58" s="686">
        <v>2.16</v>
      </c>
      <c r="B58" s="564" t="s">
        <v>576</v>
      </c>
      <c r="C58" s="687"/>
      <c r="D58" s="688">
        <f>'[2]总投资-发采购-0411-GLP拆分场外费用(司调)'!G173</f>
        <v>11277.360138763701</v>
      </c>
      <c r="E58" s="693">
        <f t="shared" si="3"/>
        <v>1586.1266017951759</v>
      </c>
      <c r="F58" s="689">
        <f t="shared" si="0"/>
        <v>1586.1266017951759</v>
      </c>
      <c r="G58" s="689">
        <f t="shared" si="1"/>
        <v>11277.360138763701</v>
      </c>
      <c r="H58" s="606" t="s">
        <v>543</v>
      </c>
      <c r="I58" s="686" t="s">
        <v>30</v>
      </c>
      <c r="J58" s="686" t="s">
        <v>705</v>
      </c>
      <c r="K58" s="697" t="s">
        <v>544</v>
      </c>
      <c r="L58" s="686" t="s">
        <v>707</v>
      </c>
      <c r="M58" s="606"/>
      <c r="N58" s="686"/>
      <c r="O58" s="686"/>
      <c r="P58" s="699">
        <v>2025.3</v>
      </c>
      <c r="Q58" s="699">
        <v>2025.4</v>
      </c>
      <c r="R58" s="699" t="s">
        <v>136</v>
      </c>
      <c r="S58" s="699">
        <v>2026.12</v>
      </c>
      <c r="T58" s="707"/>
    </row>
    <row r="59" spans="1:20" hidden="1">
      <c r="A59" s="686" t="s">
        <v>208</v>
      </c>
      <c r="B59" s="564" t="s">
        <v>577</v>
      </c>
      <c r="C59" s="687"/>
      <c r="D59" s="688">
        <f>'[2]总投资-发采购-0411-GLP拆分场外费用(司调)'!G174</f>
        <v>8671.0150149573092</v>
      </c>
      <c r="E59" s="693">
        <f t="shared" si="3"/>
        <v>1219.5520414848536</v>
      </c>
      <c r="F59" s="689">
        <f t="shared" si="0"/>
        <v>1219.5520414848536</v>
      </c>
      <c r="G59" s="689">
        <f t="shared" si="1"/>
        <v>8671.0150149573092</v>
      </c>
      <c r="H59" s="606" t="s">
        <v>543</v>
      </c>
      <c r="I59" s="686" t="s">
        <v>30</v>
      </c>
      <c r="J59" s="686" t="s">
        <v>705</v>
      </c>
      <c r="K59" s="697" t="s">
        <v>544</v>
      </c>
      <c r="L59" s="686" t="s">
        <v>707</v>
      </c>
      <c r="M59" s="606"/>
      <c r="N59" s="686"/>
      <c r="O59" s="686"/>
      <c r="P59" s="699">
        <v>2025.3</v>
      </c>
      <c r="Q59" s="699">
        <v>2025.4</v>
      </c>
      <c r="R59" s="699" t="s">
        <v>136</v>
      </c>
      <c r="S59" s="699">
        <v>2026.12</v>
      </c>
      <c r="T59" s="707"/>
    </row>
    <row r="60" spans="1:20" hidden="1">
      <c r="A60" s="686" t="s">
        <v>209</v>
      </c>
      <c r="B60" s="564" t="s">
        <v>578</v>
      </c>
      <c r="C60" s="687"/>
      <c r="D60" s="688">
        <f>'[2]总投资-发采购-0411-GLP拆分场外费用(司调)'!G175</f>
        <v>29.26848</v>
      </c>
      <c r="E60" s="693">
        <f t="shared" si="3"/>
        <v>4.1165232067510544</v>
      </c>
      <c r="F60" s="689">
        <f t="shared" si="0"/>
        <v>4.1165232067510544</v>
      </c>
      <c r="G60" s="689">
        <f t="shared" si="1"/>
        <v>29.26848</v>
      </c>
      <c r="H60" s="606" t="s">
        <v>543</v>
      </c>
      <c r="I60" s="686" t="s">
        <v>30</v>
      </c>
      <c r="J60" s="686" t="s">
        <v>705</v>
      </c>
      <c r="K60" s="697" t="s">
        <v>544</v>
      </c>
      <c r="L60" s="686" t="s">
        <v>707</v>
      </c>
      <c r="M60" s="606"/>
      <c r="N60" s="686"/>
      <c r="O60" s="686"/>
      <c r="P60" s="699">
        <v>2025.3</v>
      </c>
      <c r="Q60" s="699">
        <v>2025.4</v>
      </c>
      <c r="R60" s="699" t="s">
        <v>136</v>
      </c>
      <c r="S60" s="699">
        <v>2026.12</v>
      </c>
      <c r="T60" s="707"/>
    </row>
    <row r="61" spans="1:20" hidden="1">
      <c r="A61" s="686" t="s">
        <v>210</v>
      </c>
      <c r="B61" s="564" t="s">
        <v>579</v>
      </c>
      <c r="C61" s="687"/>
      <c r="D61" s="688">
        <f>'[2]总投资-发采购-0411-GLP拆分场外费用(司调)'!G176</f>
        <v>263.41631999999998</v>
      </c>
      <c r="E61" s="693">
        <f t="shared" si="3"/>
        <v>37.04870886075949</v>
      </c>
      <c r="F61" s="689">
        <f t="shared" si="0"/>
        <v>37.04870886075949</v>
      </c>
      <c r="G61" s="689">
        <f t="shared" si="1"/>
        <v>263.41631999999998</v>
      </c>
      <c r="H61" s="606" t="s">
        <v>543</v>
      </c>
      <c r="I61" s="686" t="s">
        <v>30</v>
      </c>
      <c r="J61" s="686" t="s">
        <v>705</v>
      </c>
      <c r="K61" s="697" t="s">
        <v>544</v>
      </c>
      <c r="L61" s="686" t="s">
        <v>707</v>
      </c>
      <c r="M61" s="606"/>
      <c r="N61" s="686"/>
      <c r="O61" s="686"/>
      <c r="P61" s="699">
        <v>2025.3</v>
      </c>
      <c r="Q61" s="699">
        <v>2025.4</v>
      </c>
      <c r="R61" s="699" t="s">
        <v>136</v>
      </c>
      <c r="S61" s="699">
        <v>2026.12</v>
      </c>
      <c r="T61" s="707"/>
    </row>
    <row r="62" spans="1:20" hidden="1">
      <c r="A62" s="686" t="s">
        <v>211</v>
      </c>
      <c r="B62" s="564" t="s">
        <v>580</v>
      </c>
      <c r="C62" s="687"/>
      <c r="D62" s="688">
        <f>'[2]总投资-发采购-0411-GLP拆分场外费用(司调)'!G177</f>
        <v>204.87935999999999</v>
      </c>
      <c r="E62" s="693">
        <f t="shared" si="3"/>
        <v>28.815662447257381</v>
      </c>
      <c r="F62" s="689">
        <f t="shared" si="0"/>
        <v>28.815662447257381</v>
      </c>
      <c r="G62" s="689">
        <f t="shared" si="1"/>
        <v>204.87935999999999</v>
      </c>
      <c r="H62" s="606" t="s">
        <v>543</v>
      </c>
      <c r="I62" s="686" t="s">
        <v>30</v>
      </c>
      <c r="J62" s="686" t="s">
        <v>705</v>
      </c>
      <c r="K62" s="697" t="s">
        <v>544</v>
      </c>
      <c r="L62" s="686" t="s">
        <v>707</v>
      </c>
      <c r="M62" s="606"/>
      <c r="N62" s="686"/>
      <c r="O62" s="686"/>
      <c r="P62" s="699">
        <v>2025.3</v>
      </c>
      <c r="Q62" s="699">
        <v>2025.4</v>
      </c>
      <c r="R62" s="699" t="s">
        <v>136</v>
      </c>
      <c r="S62" s="699">
        <v>2026.12</v>
      </c>
      <c r="T62" s="707"/>
    </row>
    <row r="63" spans="1:20" hidden="1">
      <c r="A63" s="686" t="s">
        <v>212</v>
      </c>
      <c r="B63" s="564" t="s">
        <v>581</v>
      </c>
      <c r="C63" s="687"/>
      <c r="D63" s="688">
        <f>'[2]总投资-发采购-0411-GLP拆分场外费用(司调)'!G178</f>
        <v>453.66144000000003</v>
      </c>
      <c r="E63" s="693">
        <f t="shared" si="3"/>
        <v>63.806109704641351</v>
      </c>
      <c r="F63" s="689">
        <f t="shared" si="0"/>
        <v>63.806109704641351</v>
      </c>
      <c r="G63" s="689">
        <f t="shared" si="1"/>
        <v>453.66144000000003</v>
      </c>
      <c r="H63" s="606" t="s">
        <v>543</v>
      </c>
      <c r="I63" s="686" t="s">
        <v>30</v>
      </c>
      <c r="J63" s="686" t="s">
        <v>705</v>
      </c>
      <c r="K63" s="697" t="s">
        <v>544</v>
      </c>
      <c r="L63" s="686" t="s">
        <v>707</v>
      </c>
      <c r="M63" s="606"/>
      <c r="N63" s="686"/>
      <c r="O63" s="686"/>
      <c r="P63" s="699">
        <v>2025.3</v>
      </c>
      <c r="Q63" s="699">
        <v>2025.4</v>
      </c>
      <c r="R63" s="699" t="s">
        <v>136</v>
      </c>
      <c r="S63" s="699">
        <v>2026.12</v>
      </c>
      <c r="T63" s="707"/>
    </row>
    <row r="64" spans="1:20" hidden="1">
      <c r="A64" s="686" t="s">
        <v>213</v>
      </c>
      <c r="B64" s="564" t="s">
        <v>582</v>
      </c>
      <c r="C64" s="687"/>
      <c r="D64" s="688">
        <f>'[2]总投资-发采购-0411-GLP拆分场外费用(司调)'!G179</f>
        <v>125.01274900539801</v>
      </c>
      <c r="E64" s="693">
        <f t="shared" si="3"/>
        <v>17.582665120309141</v>
      </c>
      <c r="F64" s="689">
        <f t="shared" si="0"/>
        <v>17.582665120309141</v>
      </c>
      <c r="G64" s="689">
        <f t="shared" si="1"/>
        <v>125.01274900539801</v>
      </c>
      <c r="H64" s="606" t="s">
        <v>543</v>
      </c>
      <c r="I64" s="686" t="s">
        <v>30</v>
      </c>
      <c r="J64" s="686" t="s">
        <v>705</v>
      </c>
      <c r="K64" s="697" t="s">
        <v>544</v>
      </c>
      <c r="L64" s="686" t="s">
        <v>707</v>
      </c>
      <c r="M64" s="606"/>
      <c r="N64" s="686"/>
      <c r="O64" s="686"/>
      <c r="P64" s="699">
        <v>2025.3</v>
      </c>
      <c r="Q64" s="699">
        <v>2025.4</v>
      </c>
      <c r="R64" s="699" t="s">
        <v>136</v>
      </c>
      <c r="S64" s="699">
        <v>2026.12</v>
      </c>
      <c r="T64" s="707"/>
    </row>
    <row r="65" spans="1:20" hidden="1">
      <c r="A65" s="686" t="s">
        <v>214</v>
      </c>
      <c r="B65" s="564" t="s">
        <v>583</v>
      </c>
      <c r="C65" s="687"/>
      <c r="D65" s="688">
        <f>'[2]总投资-发采购-0411-GLP拆分场外费用(司调)'!G180</f>
        <v>457.32</v>
      </c>
      <c r="E65" s="693">
        <f t="shared" si="3"/>
        <v>64.320675105485222</v>
      </c>
      <c r="F65" s="689">
        <f t="shared" si="0"/>
        <v>64.320675105485222</v>
      </c>
      <c r="G65" s="689">
        <f t="shared" si="1"/>
        <v>457.32</v>
      </c>
      <c r="H65" s="606" t="s">
        <v>543</v>
      </c>
      <c r="I65" s="686" t="s">
        <v>30</v>
      </c>
      <c r="J65" s="686" t="s">
        <v>705</v>
      </c>
      <c r="K65" s="697" t="s">
        <v>544</v>
      </c>
      <c r="L65" s="686" t="s">
        <v>707</v>
      </c>
      <c r="M65" s="606"/>
      <c r="N65" s="686"/>
      <c r="O65" s="686"/>
      <c r="P65" s="699">
        <v>2025.3</v>
      </c>
      <c r="Q65" s="699">
        <v>2025.4</v>
      </c>
      <c r="R65" s="699" t="s">
        <v>136</v>
      </c>
      <c r="S65" s="699">
        <v>2026.12</v>
      </c>
      <c r="T65" s="707"/>
    </row>
    <row r="66" spans="1:20" hidden="1">
      <c r="A66" s="686"/>
      <c r="B66" s="564" t="s">
        <v>584</v>
      </c>
      <c r="C66" s="687"/>
      <c r="D66" s="688">
        <f>'[2]总投资-发采购-0411-GLP拆分场外费用(司调)'!G181</f>
        <v>1015.78677480099</v>
      </c>
      <c r="E66" s="693">
        <f t="shared" si="3"/>
        <v>142.86733822798732</v>
      </c>
      <c r="F66" s="689">
        <f t="shared" si="0"/>
        <v>142.86733822798732</v>
      </c>
      <c r="G66" s="689">
        <f t="shared" si="1"/>
        <v>1015.78677480099</v>
      </c>
      <c r="H66" s="606" t="s">
        <v>543</v>
      </c>
      <c r="I66" s="686"/>
      <c r="J66" s="686"/>
      <c r="K66" s="697" t="s">
        <v>544</v>
      </c>
      <c r="L66" s="686"/>
      <c r="M66" s="606"/>
      <c r="N66" s="686"/>
      <c r="O66" s="686"/>
      <c r="P66" s="699"/>
      <c r="Q66" s="699"/>
      <c r="R66" s="699"/>
      <c r="S66" s="699"/>
      <c r="T66" s="707"/>
    </row>
    <row r="67" spans="1:20" hidden="1">
      <c r="A67" s="686" t="s">
        <v>215</v>
      </c>
      <c r="B67" s="564" t="s">
        <v>585</v>
      </c>
      <c r="C67" s="687"/>
      <c r="D67" s="688">
        <f>'[2]总投资-发采购-0411-GLP拆分场外费用(司调)'!G182</f>
        <v>57</v>
      </c>
      <c r="E67" s="693">
        <f t="shared" si="3"/>
        <v>8.0168776371308006</v>
      </c>
      <c r="F67" s="689">
        <f t="shared" si="0"/>
        <v>8.0168776371308006</v>
      </c>
      <c r="G67" s="689">
        <f t="shared" si="1"/>
        <v>57</v>
      </c>
      <c r="H67" s="606" t="s">
        <v>543</v>
      </c>
      <c r="I67" s="686" t="s">
        <v>30</v>
      </c>
      <c r="J67" s="686" t="s">
        <v>705</v>
      </c>
      <c r="K67" s="697" t="s">
        <v>544</v>
      </c>
      <c r="L67" s="686" t="s">
        <v>707</v>
      </c>
      <c r="M67" s="606"/>
      <c r="N67" s="686"/>
      <c r="O67" s="686"/>
      <c r="P67" s="699">
        <v>2025.3</v>
      </c>
      <c r="Q67" s="699">
        <v>2025.4</v>
      </c>
      <c r="R67" s="699" t="s">
        <v>136</v>
      </c>
      <c r="S67" s="699">
        <v>2026.12</v>
      </c>
      <c r="T67" s="707"/>
    </row>
    <row r="68" spans="1:20" hidden="1">
      <c r="A68" s="686"/>
      <c r="B68" s="564" t="s">
        <v>586</v>
      </c>
      <c r="C68" s="687"/>
      <c r="D68" s="688">
        <f>'[2]总投资-发采购-0411-GLP拆分场外费用(司调)'!G183</f>
        <v>1</v>
      </c>
      <c r="E68" s="693">
        <f t="shared" si="3"/>
        <v>0.14064697609001406</v>
      </c>
      <c r="F68" s="689">
        <f t="shared" si="0"/>
        <v>0.14064697609001406</v>
      </c>
      <c r="G68" s="689">
        <f t="shared" si="1"/>
        <v>1</v>
      </c>
      <c r="H68" s="606" t="s">
        <v>543</v>
      </c>
      <c r="I68" s="686" t="s">
        <v>30</v>
      </c>
      <c r="J68" s="686" t="s">
        <v>705</v>
      </c>
      <c r="K68" s="697" t="s">
        <v>544</v>
      </c>
      <c r="L68" s="686" t="s">
        <v>707</v>
      </c>
      <c r="M68" s="606"/>
      <c r="N68" s="686"/>
      <c r="O68" s="686"/>
      <c r="P68" s="699">
        <v>2025.3</v>
      </c>
      <c r="Q68" s="699">
        <v>2025.4</v>
      </c>
      <c r="R68" s="699" t="s">
        <v>136</v>
      </c>
      <c r="S68" s="699">
        <v>2026.12</v>
      </c>
      <c r="T68" s="707"/>
    </row>
    <row r="69" spans="1:20" hidden="1">
      <c r="A69" s="686"/>
      <c r="B69" s="564" t="s">
        <v>587</v>
      </c>
      <c r="C69" s="687"/>
      <c r="D69" s="688">
        <f>'[2]总投资-发采购-0411-GLP拆分场外费用(司调)'!G184</f>
        <v>9</v>
      </c>
      <c r="E69" s="693">
        <f t="shared" si="3"/>
        <v>1.2658227848101264</v>
      </c>
      <c r="F69" s="689">
        <f t="shared" si="0"/>
        <v>1.2658227848101264</v>
      </c>
      <c r="G69" s="689">
        <f t="shared" si="1"/>
        <v>9</v>
      </c>
      <c r="H69" s="606" t="s">
        <v>543</v>
      </c>
      <c r="I69" s="686" t="s">
        <v>30</v>
      </c>
      <c r="J69" s="686" t="s">
        <v>705</v>
      </c>
      <c r="K69" s="697" t="s">
        <v>544</v>
      </c>
      <c r="L69" s="686" t="s">
        <v>707</v>
      </c>
      <c r="M69" s="606"/>
      <c r="N69" s="686"/>
      <c r="O69" s="686"/>
      <c r="P69" s="699">
        <v>2025.3</v>
      </c>
      <c r="Q69" s="699">
        <v>2025.4</v>
      </c>
      <c r="R69" s="699" t="s">
        <v>136</v>
      </c>
      <c r="S69" s="699">
        <v>2026.12</v>
      </c>
      <c r="T69" s="707"/>
    </row>
    <row r="70" spans="1:20" hidden="1">
      <c r="A70" s="686"/>
      <c r="B70" s="564" t="s">
        <v>588</v>
      </c>
      <c r="C70" s="687"/>
      <c r="D70" s="688">
        <f>'[2]总投资-发采购-0411-GLP拆分场外费用(司调)'!G185</f>
        <v>47</v>
      </c>
      <c r="E70" s="693">
        <f t="shared" si="3"/>
        <v>6.6104078762306608</v>
      </c>
      <c r="F70" s="689">
        <f t="shared" si="0"/>
        <v>6.6104078762306608</v>
      </c>
      <c r="G70" s="689">
        <f t="shared" si="1"/>
        <v>47</v>
      </c>
      <c r="H70" s="606" t="s">
        <v>543</v>
      </c>
      <c r="I70" s="686" t="s">
        <v>30</v>
      </c>
      <c r="J70" s="686" t="s">
        <v>705</v>
      </c>
      <c r="K70" s="697" t="s">
        <v>544</v>
      </c>
      <c r="L70" s="686" t="s">
        <v>707</v>
      </c>
      <c r="M70" s="606"/>
      <c r="N70" s="686"/>
      <c r="O70" s="686"/>
      <c r="P70" s="699">
        <v>2025.3</v>
      </c>
      <c r="Q70" s="699">
        <v>2025.4</v>
      </c>
      <c r="R70" s="699" t="s">
        <v>136</v>
      </c>
      <c r="S70" s="699">
        <v>2026.12</v>
      </c>
      <c r="T70" s="707"/>
    </row>
    <row r="71" spans="1:20" hidden="1">
      <c r="A71" s="686" t="s">
        <v>216</v>
      </c>
      <c r="B71" s="564" t="s">
        <v>589</v>
      </c>
      <c r="C71" s="687"/>
      <c r="D71" s="688">
        <f>'[2]总投资-发采购-0411-GLP拆分场外费用(司调)'!G202</f>
        <v>4178.7488000000003</v>
      </c>
      <c r="E71" s="693">
        <f t="shared" si="3"/>
        <v>587.72838255977501</v>
      </c>
      <c r="F71" s="689">
        <f t="shared" si="0"/>
        <v>587.72838255977501</v>
      </c>
      <c r="G71" s="689">
        <f t="shared" si="1"/>
        <v>4178.7488000000003</v>
      </c>
      <c r="H71" s="606" t="s">
        <v>543</v>
      </c>
      <c r="I71" s="686"/>
      <c r="J71" s="686"/>
      <c r="K71" s="697" t="s">
        <v>544</v>
      </c>
      <c r="L71" s="686"/>
      <c r="M71" s="606"/>
      <c r="N71" s="686"/>
      <c r="O71" s="686"/>
      <c r="P71" s="699"/>
      <c r="Q71" s="699"/>
      <c r="R71" s="699"/>
      <c r="S71" s="699"/>
      <c r="T71" s="707"/>
    </row>
    <row r="72" spans="1:20" hidden="1">
      <c r="A72" s="686" t="s">
        <v>218</v>
      </c>
      <c r="B72" s="564" t="s">
        <v>590</v>
      </c>
      <c r="C72" s="687"/>
      <c r="D72" s="688">
        <f>'[2]总投资-发采购-0411-GLP拆分场外费用(司调)'!G203</f>
        <v>4053.386336</v>
      </c>
      <c r="E72" s="693">
        <f t="shared" ref="E72:E75" si="4">D72/$A$3</f>
        <v>570.09653108298164</v>
      </c>
      <c r="F72" s="689">
        <f t="shared" ref="F72:F143" si="5">E72</f>
        <v>570.09653108298164</v>
      </c>
      <c r="G72" s="689">
        <f t="shared" ref="G72:G135" si="6">D72</f>
        <v>4053.386336</v>
      </c>
      <c r="H72" s="606" t="s">
        <v>543</v>
      </c>
      <c r="I72" s="686"/>
      <c r="J72" s="686"/>
      <c r="K72" s="697" t="s">
        <v>544</v>
      </c>
      <c r="L72" s="686"/>
      <c r="M72" s="606"/>
      <c r="N72" s="686"/>
      <c r="O72" s="686"/>
      <c r="P72" s="699"/>
      <c r="Q72" s="699"/>
      <c r="R72" s="699"/>
      <c r="S72" s="699"/>
      <c r="T72" s="707"/>
    </row>
    <row r="73" spans="1:20" hidden="1">
      <c r="A73" s="686" t="s">
        <v>220</v>
      </c>
      <c r="B73" s="564" t="s">
        <v>591</v>
      </c>
      <c r="C73" s="687"/>
      <c r="D73" s="688">
        <f>'[2]总投资-发采购-0411-GLP拆分场外费用(司调)'!G204</f>
        <v>125.362464</v>
      </c>
      <c r="E73" s="693">
        <f t="shared" si="4"/>
        <v>17.631851476793248</v>
      </c>
      <c r="F73" s="689">
        <f t="shared" si="5"/>
        <v>17.631851476793248</v>
      </c>
      <c r="G73" s="689">
        <f t="shared" si="6"/>
        <v>125.362464</v>
      </c>
      <c r="H73" s="606" t="s">
        <v>543</v>
      </c>
      <c r="I73" s="686"/>
      <c r="J73" s="686"/>
      <c r="K73" s="697" t="s">
        <v>544</v>
      </c>
      <c r="L73" s="686"/>
      <c r="M73" s="606"/>
      <c r="N73" s="686"/>
      <c r="O73" s="686"/>
      <c r="P73" s="699"/>
      <c r="Q73" s="699"/>
      <c r="R73" s="699"/>
      <c r="S73" s="699"/>
      <c r="T73" s="707"/>
    </row>
    <row r="74" spans="1:20" ht="26.4">
      <c r="A74" s="606" t="s">
        <v>35</v>
      </c>
      <c r="B74" s="564" t="s">
        <v>592</v>
      </c>
      <c r="C74" s="683" t="s">
        <v>593</v>
      </c>
      <c r="D74" s="684">
        <f>SUM('[2]总投资-发采购-0411-GLP拆分场外费用(司调)'!G108,'[2]总投资-发采购-0411-GLP拆分场外费用(司调)'!G121,'[2]总投资-发采购-0411-GLP拆分场外费用(司调)'!G95,'[2]总投资-发采购-0411-GLP拆分场外费用(司调)'!G199)</f>
        <v>54208.013061394893</v>
      </c>
      <c r="E74" s="695">
        <f t="shared" si="4"/>
        <v>7624.1931169331774</v>
      </c>
      <c r="F74" s="685">
        <f t="shared" si="5"/>
        <v>7624.1931169331774</v>
      </c>
      <c r="G74" s="685">
        <f t="shared" si="6"/>
        <v>54208.013061394893</v>
      </c>
      <c r="H74" s="606" t="s">
        <v>543</v>
      </c>
      <c r="I74" s="606" t="s">
        <v>79</v>
      </c>
      <c r="J74" s="606">
        <v>18</v>
      </c>
      <c r="K74" s="697" t="s">
        <v>31</v>
      </c>
      <c r="L74" s="606" t="s">
        <v>135</v>
      </c>
      <c r="M74" s="606"/>
      <c r="N74" s="606"/>
      <c r="O74" s="606"/>
      <c r="P74" s="698" t="s">
        <v>225</v>
      </c>
      <c r="Q74" s="698" t="s">
        <v>226</v>
      </c>
      <c r="R74" s="698" t="s">
        <v>714</v>
      </c>
      <c r="S74" s="698" t="s">
        <v>228</v>
      </c>
      <c r="T74" s="697"/>
    </row>
    <row r="75" spans="1:20" hidden="1">
      <c r="A75" s="686">
        <v>2.1</v>
      </c>
      <c r="B75" s="564" t="s">
        <v>594</v>
      </c>
      <c r="C75" s="687"/>
      <c r="D75" s="688">
        <f>'[2]总投资-发采购-0411-GLP拆分场外费用(司调)'!G108</f>
        <v>15502.4051499249</v>
      </c>
      <c r="E75" s="693">
        <f t="shared" si="4"/>
        <v>2180.3664064591981</v>
      </c>
      <c r="F75" s="689">
        <f t="shared" si="5"/>
        <v>2180.3664064591981</v>
      </c>
      <c r="G75" s="689">
        <f t="shared" si="6"/>
        <v>15502.4051499249</v>
      </c>
      <c r="H75" s="606" t="s">
        <v>543</v>
      </c>
      <c r="I75" s="686"/>
      <c r="J75" s="686"/>
      <c r="K75" s="697" t="s">
        <v>544</v>
      </c>
      <c r="L75" s="686"/>
      <c r="M75" s="606"/>
      <c r="N75" s="686"/>
      <c r="O75" s="686"/>
      <c r="P75" s="699"/>
      <c r="Q75" s="699"/>
      <c r="R75" s="699"/>
      <c r="S75" s="699"/>
      <c r="T75" s="707"/>
    </row>
    <row r="76" spans="1:20" hidden="1">
      <c r="A76" s="686" t="s">
        <v>230</v>
      </c>
      <c r="B76" s="564" t="s">
        <v>595</v>
      </c>
      <c r="C76" s="687"/>
      <c r="D76" s="688">
        <f>'[2]总投资-发采购-0411-GLP拆分场外费用(司调)'!G109</f>
        <v>12124.859358359399</v>
      </c>
      <c r="E76" s="693">
        <f t="shared" ref="E76:E113" si="7">D76/$A$3</f>
        <v>1705.3248042699577</v>
      </c>
      <c r="F76" s="689">
        <f t="shared" si="5"/>
        <v>1705.3248042699577</v>
      </c>
      <c r="G76" s="689">
        <f t="shared" si="6"/>
        <v>12124.859358359399</v>
      </c>
      <c r="H76" s="606" t="s">
        <v>543</v>
      </c>
      <c r="I76" s="686"/>
      <c r="J76" s="686"/>
      <c r="K76" s="697" t="s">
        <v>544</v>
      </c>
      <c r="L76" s="686"/>
      <c r="M76" s="606"/>
      <c r="N76" s="686"/>
      <c r="O76" s="686"/>
      <c r="P76" s="699"/>
      <c r="Q76" s="699"/>
      <c r="R76" s="699"/>
      <c r="S76" s="699"/>
      <c r="T76" s="707"/>
    </row>
    <row r="77" spans="1:20" hidden="1">
      <c r="A77" s="686" t="s">
        <v>231</v>
      </c>
      <c r="B77" s="564" t="s">
        <v>596</v>
      </c>
      <c r="C77" s="687"/>
      <c r="D77" s="688">
        <f>'[2]总投资-发采购-0411-GLP拆分场外费用(司调)'!G110</f>
        <v>40.926720000000003</v>
      </c>
      <c r="E77" s="693">
        <f t="shared" si="7"/>
        <v>5.7562194092827008</v>
      </c>
      <c r="F77" s="689">
        <f t="shared" si="5"/>
        <v>5.7562194092827008</v>
      </c>
      <c r="G77" s="689">
        <f t="shared" si="6"/>
        <v>40.926720000000003</v>
      </c>
      <c r="H77" s="606" t="s">
        <v>543</v>
      </c>
      <c r="I77" s="686"/>
      <c r="J77" s="686"/>
      <c r="K77" s="697" t="s">
        <v>544</v>
      </c>
      <c r="L77" s="686"/>
      <c r="M77" s="606"/>
      <c r="N77" s="686"/>
      <c r="O77" s="686"/>
      <c r="P77" s="699"/>
      <c r="Q77" s="699"/>
      <c r="R77" s="699"/>
      <c r="S77" s="699"/>
      <c r="T77" s="707"/>
    </row>
    <row r="78" spans="1:20" hidden="1">
      <c r="A78" s="686" t="s">
        <v>232</v>
      </c>
      <c r="B78" s="564" t="s">
        <v>597</v>
      </c>
      <c r="C78" s="687"/>
      <c r="D78" s="688">
        <f>'[2]总投资-发采购-0411-GLP拆分场外费用(司调)'!G111</f>
        <v>368.34048000000001</v>
      </c>
      <c r="E78" s="693">
        <f t="shared" si="7"/>
        <v>51.805974683544306</v>
      </c>
      <c r="F78" s="689">
        <f t="shared" si="5"/>
        <v>51.805974683544306</v>
      </c>
      <c r="G78" s="689">
        <f t="shared" si="6"/>
        <v>368.34048000000001</v>
      </c>
      <c r="H78" s="606" t="s">
        <v>543</v>
      </c>
      <c r="I78" s="686"/>
      <c r="J78" s="686"/>
      <c r="K78" s="697" t="s">
        <v>544</v>
      </c>
      <c r="L78" s="686"/>
      <c r="M78" s="606"/>
      <c r="N78" s="686"/>
      <c r="O78" s="686"/>
      <c r="P78" s="699"/>
      <c r="Q78" s="699"/>
      <c r="R78" s="699"/>
      <c r="S78" s="699"/>
      <c r="T78" s="707"/>
    </row>
    <row r="79" spans="1:20" hidden="1">
      <c r="A79" s="686" t="s">
        <v>233</v>
      </c>
      <c r="B79" s="564" t="s">
        <v>598</v>
      </c>
      <c r="C79" s="687"/>
      <c r="D79" s="688">
        <f>'[2]总投资-发采购-0411-GLP拆分场外费用(司调)'!G112</f>
        <v>286.48703999999998</v>
      </c>
      <c r="E79" s="693">
        <f t="shared" si="7"/>
        <v>40.293535864978899</v>
      </c>
      <c r="F79" s="689">
        <f t="shared" si="5"/>
        <v>40.293535864978899</v>
      </c>
      <c r="G79" s="689">
        <f t="shared" si="6"/>
        <v>286.48703999999998</v>
      </c>
      <c r="H79" s="606" t="s">
        <v>543</v>
      </c>
      <c r="I79" s="686"/>
      <c r="J79" s="686"/>
      <c r="K79" s="697" t="s">
        <v>544</v>
      </c>
      <c r="L79" s="686"/>
      <c r="M79" s="606"/>
      <c r="N79" s="686"/>
      <c r="O79" s="686"/>
      <c r="P79" s="699"/>
      <c r="Q79" s="699"/>
      <c r="R79" s="699"/>
      <c r="S79" s="699"/>
      <c r="T79" s="707"/>
    </row>
    <row r="80" spans="1:20" hidden="1">
      <c r="A80" s="686" t="s">
        <v>234</v>
      </c>
      <c r="B80" s="564" t="s">
        <v>599</v>
      </c>
      <c r="C80" s="687"/>
      <c r="D80" s="688">
        <f>'[2]总投资-发采购-0411-GLP拆分场外费用(司调)'!G113</f>
        <v>634.36415999999997</v>
      </c>
      <c r="E80" s="693">
        <f t="shared" si="7"/>
        <v>89.221400843881852</v>
      </c>
      <c r="F80" s="689">
        <f t="shared" si="5"/>
        <v>89.221400843881852</v>
      </c>
      <c r="G80" s="689">
        <f t="shared" si="6"/>
        <v>634.36415999999997</v>
      </c>
      <c r="H80" s="606" t="s">
        <v>543</v>
      </c>
      <c r="I80" s="686"/>
      <c r="J80" s="686"/>
      <c r="K80" s="697" t="s">
        <v>544</v>
      </c>
      <c r="L80" s="686"/>
      <c r="M80" s="606"/>
      <c r="N80" s="686"/>
      <c r="O80" s="686"/>
      <c r="P80" s="699"/>
      <c r="Q80" s="699"/>
      <c r="R80" s="699"/>
      <c r="S80" s="699"/>
      <c r="T80" s="707"/>
    </row>
    <row r="81" spans="1:20" hidden="1">
      <c r="A81" s="686" t="s">
        <v>235</v>
      </c>
      <c r="B81" s="564" t="s">
        <v>600</v>
      </c>
      <c r="C81" s="687"/>
      <c r="D81" s="688">
        <f>'[2]总投资-发采购-0411-GLP拆分场外费用(司调)'!G114</f>
        <v>174.807908541004</v>
      </c>
      <c r="E81" s="693">
        <f t="shared" si="7"/>
        <v>24.586203732911954</v>
      </c>
      <c r="F81" s="689">
        <f t="shared" si="5"/>
        <v>24.586203732911954</v>
      </c>
      <c r="G81" s="689">
        <f t="shared" si="6"/>
        <v>174.807908541004</v>
      </c>
      <c r="H81" s="606" t="s">
        <v>543</v>
      </c>
      <c r="I81" s="686"/>
      <c r="J81" s="686"/>
      <c r="K81" s="697" t="s">
        <v>544</v>
      </c>
      <c r="L81" s="686"/>
      <c r="M81" s="606"/>
      <c r="N81" s="686"/>
      <c r="O81" s="686"/>
      <c r="P81" s="699"/>
      <c r="Q81" s="699"/>
      <c r="R81" s="699"/>
      <c r="S81" s="699"/>
      <c r="T81" s="707"/>
    </row>
    <row r="82" spans="1:20" hidden="1">
      <c r="A82" s="686" t="s">
        <v>236</v>
      </c>
      <c r="B82" s="564" t="s">
        <v>601</v>
      </c>
      <c r="C82" s="687"/>
      <c r="D82" s="688">
        <f>'[2]总投资-发采购-0411-GLP拆分场外费用(司调)'!G115</f>
        <v>639.48</v>
      </c>
      <c r="E82" s="693">
        <f t="shared" si="7"/>
        <v>89.940928270042193</v>
      </c>
      <c r="F82" s="689">
        <f t="shared" si="5"/>
        <v>89.940928270042193</v>
      </c>
      <c r="G82" s="689">
        <f t="shared" si="6"/>
        <v>639.48</v>
      </c>
      <c r="H82" s="606" t="s">
        <v>543</v>
      </c>
      <c r="I82" s="686"/>
      <c r="J82" s="686"/>
      <c r="K82" s="697" t="s">
        <v>544</v>
      </c>
      <c r="L82" s="686"/>
      <c r="M82" s="606"/>
      <c r="N82" s="686"/>
      <c r="O82" s="686"/>
      <c r="P82" s="699"/>
      <c r="Q82" s="699"/>
      <c r="R82" s="699"/>
      <c r="S82" s="699"/>
      <c r="T82" s="707"/>
    </row>
    <row r="83" spans="1:20" hidden="1">
      <c r="A83" s="686"/>
      <c r="B83" s="564" t="s">
        <v>602</v>
      </c>
      <c r="C83" s="687"/>
      <c r="D83" s="688">
        <f>'[2]总投资-发采购-0411-GLP拆分场外费用(司调)'!G116</f>
        <v>1161.1394830245599</v>
      </c>
      <c r="E83" s="693">
        <f t="shared" si="7"/>
        <v>163.31075710612657</v>
      </c>
      <c r="F83" s="689">
        <f t="shared" si="5"/>
        <v>163.31075710612657</v>
      </c>
      <c r="G83" s="689">
        <f t="shared" si="6"/>
        <v>1161.1394830245599</v>
      </c>
      <c r="H83" s="606" t="s">
        <v>543</v>
      </c>
      <c r="I83" s="686"/>
      <c r="J83" s="686"/>
      <c r="K83" s="697" t="s">
        <v>544</v>
      </c>
      <c r="L83" s="686"/>
      <c r="M83" s="606"/>
      <c r="N83" s="686"/>
      <c r="O83" s="686"/>
      <c r="P83" s="699"/>
      <c r="Q83" s="699"/>
      <c r="R83" s="699"/>
      <c r="S83" s="699"/>
      <c r="T83" s="707"/>
    </row>
    <row r="84" spans="1:20" hidden="1">
      <c r="A84" s="686" t="s">
        <v>237</v>
      </c>
      <c r="B84" s="564" t="s">
        <v>603</v>
      </c>
      <c r="C84" s="687"/>
      <c r="D84" s="688">
        <f>'[2]总投资-发采购-0411-GLP拆分场外费用(司调)'!G117</f>
        <v>72</v>
      </c>
      <c r="E84" s="693">
        <f t="shared" si="7"/>
        <v>10.126582278481012</v>
      </c>
      <c r="F84" s="689">
        <f t="shared" si="5"/>
        <v>10.126582278481012</v>
      </c>
      <c r="G84" s="689">
        <f t="shared" si="6"/>
        <v>72</v>
      </c>
      <c r="H84" s="606" t="s">
        <v>543</v>
      </c>
      <c r="I84" s="686"/>
      <c r="J84" s="686"/>
      <c r="K84" s="697" t="s">
        <v>544</v>
      </c>
      <c r="L84" s="686"/>
      <c r="M84" s="606"/>
      <c r="N84" s="686"/>
      <c r="O84" s="686"/>
      <c r="P84" s="699"/>
      <c r="Q84" s="699"/>
      <c r="R84" s="699"/>
      <c r="S84" s="699"/>
      <c r="T84" s="707"/>
    </row>
    <row r="85" spans="1:20" hidden="1">
      <c r="A85" s="686"/>
      <c r="B85" s="564" t="s">
        <v>604</v>
      </c>
      <c r="C85" s="687"/>
      <c r="D85" s="688">
        <f>'[2]总投资-发采购-0411-GLP拆分场外费用(司调)'!G118</f>
        <v>1</v>
      </c>
      <c r="E85" s="693">
        <f t="shared" si="7"/>
        <v>0.14064697609001406</v>
      </c>
      <c r="F85" s="689">
        <f t="shared" si="5"/>
        <v>0.14064697609001406</v>
      </c>
      <c r="G85" s="689">
        <f t="shared" si="6"/>
        <v>1</v>
      </c>
      <c r="H85" s="606" t="s">
        <v>543</v>
      </c>
      <c r="I85" s="686"/>
      <c r="J85" s="686"/>
      <c r="K85" s="697" t="s">
        <v>544</v>
      </c>
      <c r="L85" s="686"/>
      <c r="M85" s="606"/>
      <c r="N85" s="686"/>
      <c r="O85" s="686"/>
      <c r="P85" s="699"/>
      <c r="Q85" s="699"/>
      <c r="R85" s="699"/>
      <c r="S85" s="699"/>
      <c r="T85" s="707"/>
    </row>
    <row r="86" spans="1:20" hidden="1">
      <c r="A86" s="686"/>
      <c r="B86" s="564" t="s">
        <v>605</v>
      </c>
      <c r="C86" s="687"/>
      <c r="D86" s="688">
        <f>'[2]总投资-发采购-0411-GLP拆分场外费用(司调)'!G119</f>
        <v>13</v>
      </c>
      <c r="E86" s="693">
        <f t="shared" si="7"/>
        <v>1.8284106891701828</v>
      </c>
      <c r="F86" s="689">
        <f t="shared" si="5"/>
        <v>1.8284106891701828</v>
      </c>
      <c r="G86" s="689">
        <f t="shared" si="6"/>
        <v>13</v>
      </c>
      <c r="H86" s="606" t="s">
        <v>543</v>
      </c>
      <c r="I86" s="686"/>
      <c r="J86" s="686"/>
      <c r="K86" s="697" t="s">
        <v>544</v>
      </c>
      <c r="L86" s="686"/>
      <c r="M86" s="606"/>
      <c r="N86" s="686"/>
      <c r="O86" s="686"/>
      <c r="P86" s="699"/>
      <c r="Q86" s="699"/>
      <c r="R86" s="699"/>
      <c r="S86" s="699"/>
      <c r="T86" s="707"/>
    </row>
    <row r="87" spans="1:20" hidden="1">
      <c r="A87" s="686"/>
      <c r="B87" s="564" t="s">
        <v>606</v>
      </c>
      <c r="C87" s="687"/>
      <c r="D87" s="688">
        <f>'[2]总投资-发采购-0411-GLP拆分场外费用(司调)'!G120</f>
        <v>58</v>
      </c>
      <c r="E87" s="693">
        <f t="shared" si="7"/>
        <v>8.157524613220815</v>
      </c>
      <c r="F87" s="689">
        <f t="shared" si="5"/>
        <v>8.157524613220815</v>
      </c>
      <c r="G87" s="689">
        <f t="shared" si="6"/>
        <v>58</v>
      </c>
      <c r="H87" s="606" t="s">
        <v>543</v>
      </c>
      <c r="I87" s="686"/>
      <c r="J87" s="686"/>
      <c r="K87" s="697" t="s">
        <v>544</v>
      </c>
      <c r="L87" s="686"/>
      <c r="M87" s="606"/>
      <c r="N87" s="686"/>
      <c r="O87" s="686"/>
      <c r="P87" s="699"/>
      <c r="Q87" s="699"/>
      <c r="R87" s="699"/>
      <c r="S87" s="699"/>
      <c r="T87" s="707"/>
    </row>
    <row r="88" spans="1:20" hidden="1">
      <c r="A88" s="686">
        <v>2.11</v>
      </c>
      <c r="B88" s="564" t="s">
        <v>607</v>
      </c>
      <c r="C88" s="687"/>
      <c r="D88" s="688">
        <f>'[2]总投资-发采购-0411-GLP拆分场外费用(司调)'!G121</f>
        <v>15296.8552463777</v>
      </c>
      <c r="E88" s="693">
        <f t="shared" si="7"/>
        <v>2151.4564340896904</v>
      </c>
      <c r="F88" s="689">
        <f t="shared" si="5"/>
        <v>2151.4564340896904</v>
      </c>
      <c r="G88" s="689">
        <f t="shared" si="6"/>
        <v>15296.8552463777</v>
      </c>
      <c r="H88" s="606" t="s">
        <v>543</v>
      </c>
      <c r="I88" s="686"/>
      <c r="J88" s="686"/>
      <c r="K88" s="697" t="s">
        <v>544</v>
      </c>
      <c r="L88" s="686"/>
      <c r="M88" s="606"/>
      <c r="N88" s="686"/>
      <c r="O88" s="686"/>
      <c r="P88" s="699"/>
      <c r="Q88" s="699"/>
      <c r="R88" s="699"/>
      <c r="S88" s="699"/>
      <c r="T88" s="707"/>
    </row>
    <row r="89" spans="1:20" hidden="1">
      <c r="A89" s="686" t="s">
        <v>239</v>
      </c>
      <c r="B89" s="564" t="s">
        <v>608</v>
      </c>
      <c r="C89" s="687"/>
      <c r="D89" s="688">
        <f>'[2]总投资-发采购-0411-GLP拆分场外费用(司调)'!G122</f>
        <v>12124.859358359399</v>
      </c>
      <c r="E89" s="693">
        <f t="shared" si="7"/>
        <v>1705.3248042699577</v>
      </c>
      <c r="F89" s="689">
        <f t="shared" si="5"/>
        <v>1705.3248042699577</v>
      </c>
      <c r="G89" s="689">
        <f t="shared" si="6"/>
        <v>12124.859358359399</v>
      </c>
      <c r="H89" s="606" t="s">
        <v>543</v>
      </c>
      <c r="I89" s="686"/>
      <c r="J89" s="686"/>
      <c r="K89" s="697" t="s">
        <v>544</v>
      </c>
      <c r="L89" s="686"/>
      <c r="M89" s="606"/>
      <c r="N89" s="686"/>
      <c r="O89" s="686"/>
      <c r="P89" s="699"/>
      <c r="Q89" s="699"/>
      <c r="R89" s="699"/>
      <c r="S89" s="699"/>
      <c r="T89" s="707"/>
    </row>
    <row r="90" spans="1:20" hidden="1">
      <c r="A90" s="686" t="s">
        <v>240</v>
      </c>
      <c r="B90" s="564" t="s">
        <v>609</v>
      </c>
      <c r="C90" s="687"/>
      <c r="D90" s="688">
        <f>'[2]总投资-发采购-0411-GLP拆分场外费用(司调)'!G123</f>
        <v>40.926720000000003</v>
      </c>
      <c r="E90" s="693">
        <f t="shared" si="7"/>
        <v>5.7562194092827008</v>
      </c>
      <c r="F90" s="689">
        <f t="shared" si="5"/>
        <v>5.7562194092827008</v>
      </c>
      <c r="G90" s="689">
        <f t="shared" si="6"/>
        <v>40.926720000000003</v>
      </c>
      <c r="H90" s="606" t="s">
        <v>543</v>
      </c>
      <c r="I90" s="686"/>
      <c r="J90" s="686"/>
      <c r="K90" s="697" t="s">
        <v>544</v>
      </c>
      <c r="L90" s="686"/>
      <c r="M90" s="606"/>
      <c r="N90" s="686"/>
      <c r="O90" s="686"/>
      <c r="P90" s="699"/>
      <c r="Q90" s="699"/>
      <c r="R90" s="699"/>
      <c r="S90" s="699"/>
      <c r="T90" s="707"/>
    </row>
    <row r="91" spans="1:20" hidden="1">
      <c r="A91" s="686" t="s">
        <v>241</v>
      </c>
      <c r="B91" s="564" t="s">
        <v>610</v>
      </c>
      <c r="C91" s="687"/>
      <c r="D91" s="688">
        <f>'[2]总投资-发采购-0411-GLP拆分场外费用(司调)'!G124</f>
        <v>368.34048000000001</v>
      </c>
      <c r="E91" s="693">
        <f t="shared" si="7"/>
        <v>51.805974683544306</v>
      </c>
      <c r="F91" s="689">
        <f t="shared" si="5"/>
        <v>51.805974683544306</v>
      </c>
      <c r="G91" s="689">
        <f t="shared" si="6"/>
        <v>368.34048000000001</v>
      </c>
      <c r="H91" s="606" t="s">
        <v>543</v>
      </c>
      <c r="I91" s="686"/>
      <c r="J91" s="686"/>
      <c r="K91" s="697" t="s">
        <v>544</v>
      </c>
      <c r="L91" s="686"/>
      <c r="M91" s="606"/>
      <c r="N91" s="686"/>
      <c r="O91" s="686"/>
      <c r="P91" s="699"/>
      <c r="Q91" s="699"/>
      <c r="R91" s="699"/>
      <c r="S91" s="699"/>
      <c r="T91" s="707"/>
    </row>
    <row r="92" spans="1:20" hidden="1">
      <c r="A92" s="686" t="s">
        <v>242</v>
      </c>
      <c r="B92" s="564" t="s">
        <v>611</v>
      </c>
      <c r="C92" s="687"/>
      <c r="D92" s="688">
        <f>'[2]总投资-发采购-0411-GLP拆分场外费用(司调)'!G125</f>
        <v>286.48703999999998</v>
      </c>
      <c r="E92" s="693">
        <f t="shared" si="7"/>
        <v>40.293535864978899</v>
      </c>
      <c r="F92" s="689">
        <f t="shared" si="5"/>
        <v>40.293535864978899</v>
      </c>
      <c r="G92" s="689">
        <f t="shared" si="6"/>
        <v>286.48703999999998</v>
      </c>
      <c r="H92" s="606" t="s">
        <v>543</v>
      </c>
      <c r="I92" s="686"/>
      <c r="J92" s="686"/>
      <c r="K92" s="697" t="s">
        <v>544</v>
      </c>
      <c r="L92" s="686"/>
      <c r="M92" s="606"/>
      <c r="N92" s="686"/>
      <c r="O92" s="686"/>
      <c r="P92" s="699"/>
      <c r="Q92" s="699"/>
      <c r="R92" s="699"/>
      <c r="S92" s="699"/>
      <c r="T92" s="707"/>
    </row>
    <row r="93" spans="1:20" hidden="1">
      <c r="A93" s="686" t="s">
        <v>243</v>
      </c>
      <c r="B93" s="564" t="s">
        <v>612</v>
      </c>
      <c r="C93" s="687"/>
      <c r="D93" s="688">
        <f>'[2]总投资-发采购-0411-GLP拆分场外费用(司调)'!G126</f>
        <v>634.36415999999997</v>
      </c>
      <c r="E93" s="693">
        <f t="shared" si="7"/>
        <v>89.221400843881852</v>
      </c>
      <c r="F93" s="689">
        <f t="shared" si="5"/>
        <v>89.221400843881852</v>
      </c>
      <c r="G93" s="689">
        <f t="shared" si="6"/>
        <v>634.36415999999997</v>
      </c>
      <c r="H93" s="606" t="s">
        <v>543</v>
      </c>
      <c r="I93" s="686"/>
      <c r="J93" s="686"/>
      <c r="K93" s="697" t="s">
        <v>544</v>
      </c>
      <c r="L93" s="686"/>
      <c r="M93" s="606"/>
      <c r="N93" s="686"/>
      <c r="O93" s="686"/>
      <c r="P93" s="699"/>
      <c r="Q93" s="699"/>
      <c r="R93" s="699"/>
      <c r="S93" s="699"/>
      <c r="T93" s="707"/>
    </row>
    <row r="94" spans="1:20" hidden="1">
      <c r="A94" s="686" t="s">
        <v>244</v>
      </c>
      <c r="B94" s="564" t="s">
        <v>613</v>
      </c>
      <c r="C94" s="687"/>
      <c r="D94" s="688">
        <f>'[2]总投资-发采购-0411-GLP拆分场外费用(司调)'!G127</f>
        <v>174.807908541004</v>
      </c>
      <c r="E94" s="693">
        <f t="shared" si="7"/>
        <v>24.586203732911954</v>
      </c>
      <c r="F94" s="689">
        <f t="shared" si="5"/>
        <v>24.586203732911954</v>
      </c>
      <c r="G94" s="689">
        <f t="shared" si="6"/>
        <v>174.807908541004</v>
      </c>
      <c r="H94" s="606" t="s">
        <v>543</v>
      </c>
      <c r="I94" s="686"/>
      <c r="J94" s="686"/>
      <c r="K94" s="697" t="s">
        <v>544</v>
      </c>
      <c r="L94" s="686"/>
      <c r="M94" s="606"/>
      <c r="N94" s="686"/>
      <c r="O94" s="686"/>
      <c r="P94" s="699"/>
      <c r="Q94" s="699"/>
      <c r="R94" s="699"/>
      <c r="S94" s="699"/>
      <c r="T94" s="707"/>
    </row>
    <row r="95" spans="1:20" hidden="1">
      <c r="A95" s="686" t="s">
        <v>245</v>
      </c>
      <c r="B95" s="564" t="s">
        <v>614</v>
      </c>
      <c r="C95" s="687"/>
      <c r="D95" s="688">
        <f>'[2]总投资-发采购-0411-GLP拆分场外费用(司调)'!G128</f>
        <v>639.48</v>
      </c>
      <c r="E95" s="693">
        <f t="shared" si="7"/>
        <v>89.940928270042193</v>
      </c>
      <c r="F95" s="689">
        <f t="shared" si="5"/>
        <v>89.940928270042193</v>
      </c>
      <c r="G95" s="689">
        <f t="shared" si="6"/>
        <v>639.48</v>
      </c>
      <c r="H95" s="606" t="s">
        <v>543</v>
      </c>
      <c r="I95" s="686"/>
      <c r="J95" s="686"/>
      <c r="K95" s="697" t="s">
        <v>544</v>
      </c>
      <c r="L95" s="686"/>
      <c r="M95" s="606"/>
      <c r="N95" s="686"/>
      <c r="O95" s="686"/>
      <c r="P95" s="699"/>
      <c r="Q95" s="699"/>
      <c r="R95" s="699"/>
      <c r="S95" s="699"/>
      <c r="T95" s="707"/>
    </row>
    <row r="96" spans="1:20" hidden="1">
      <c r="A96" s="686"/>
      <c r="B96" s="564" t="s">
        <v>615</v>
      </c>
      <c r="C96" s="687"/>
      <c r="D96" s="688">
        <f>'[2]总投资-发采购-0411-GLP拆分场外费用(司调)'!G129</f>
        <v>955.589579477293</v>
      </c>
      <c r="E96" s="693">
        <f t="shared" si="7"/>
        <v>134.40078473660941</v>
      </c>
      <c r="F96" s="689">
        <f t="shared" si="5"/>
        <v>134.40078473660941</v>
      </c>
      <c r="G96" s="689">
        <f t="shared" si="6"/>
        <v>955.589579477293</v>
      </c>
      <c r="H96" s="606" t="s">
        <v>543</v>
      </c>
      <c r="I96" s="686"/>
      <c r="J96" s="686"/>
      <c r="K96" s="697" t="s">
        <v>544</v>
      </c>
      <c r="L96" s="686"/>
      <c r="M96" s="606"/>
      <c r="N96" s="686"/>
      <c r="O96" s="686"/>
      <c r="P96" s="699"/>
      <c r="Q96" s="699"/>
      <c r="R96" s="699"/>
      <c r="S96" s="699"/>
      <c r="T96" s="707"/>
    </row>
    <row r="97" spans="1:20" hidden="1">
      <c r="A97" s="686" t="s">
        <v>246</v>
      </c>
      <c r="B97" s="564" t="s">
        <v>616</v>
      </c>
      <c r="C97" s="687"/>
      <c r="D97" s="688">
        <f>'[2]总投资-发采购-0411-GLP拆分场外费用(司调)'!G130</f>
        <v>72</v>
      </c>
      <c r="E97" s="693">
        <f t="shared" si="7"/>
        <v>10.126582278481012</v>
      </c>
      <c r="F97" s="689">
        <f t="shared" si="5"/>
        <v>10.126582278481012</v>
      </c>
      <c r="G97" s="689">
        <f t="shared" si="6"/>
        <v>72</v>
      </c>
      <c r="H97" s="606" t="s">
        <v>543</v>
      </c>
      <c r="I97" s="686"/>
      <c r="J97" s="686"/>
      <c r="K97" s="697" t="s">
        <v>544</v>
      </c>
      <c r="L97" s="686"/>
      <c r="M97" s="606"/>
      <c r="N97" s="686"/>
      <c r="O97" s="686"/>
      <c r="P97" s="699"/>
      <c r="Q97" s="699"/>
      <c r="R97" s="699"/>
      <c r="S97" s="699"/>
      <c r="T97" s="707"/>
    </row>
    <row r="98" spans="1:20" hidden="1">
      <c r="A98" s="686"/>
      <c r="B98" s="564" t="s">
        <v>617</v>
      </c>
      <c r="C98" s="687"/>
      <c r="D98" s="688">
        <f>'[2]总投资-发采购-0411-GLP拆分场外费用(司调)'!G131</f>
        <v>1</v>
      </c>
      <c r="E98" s="693">
        <f t="shared" si="7"/>
        <v>0.14064697609001406</v>
      </c>
      <c r="F98" s="689">
        <f t="shared" si="5"/>
        <v>0.14064697609001406</v>
      </c>
      <c r="G98" s="689">
        <f t="shared" si="6"/>
        <v>1</v>
      </c>
      <c r="H98" s="606" t="s">
        <v>543</v>
      </c>
      <c r="I98" s="686"/>
      <c r="J98" s="686"/>
      <c r="K98" s="697" t="s">
        <v>544</v>
      </c>
      <c r="L98" s="686"/>
      <c r="M98" s="606"/>
      <c r="N98" s="686"/>
      <c r="O98" s="686"/>
      <c r="P98" s="699"/>
      <c r="Q98" s="699"/>
      <c r="R98" s="699"/>
      <c r="S98" s="699"/>
      <c r="T98" s="707"/>
    </row>
    <row r="99" spans="1:20" hidden="1">
      <c r="A99" s="686"/>
      <c r="B99" s="564" t="s">
        <v>618</v>
      </c>
      <c r="C99" s="687"/>
      <c r="D99" s="688">
        <f>'[2]总投资-发采购-0411-GLP拆分场外费用(司调)'!G132</f>
        <v>13</v>
      </c>
      <c r="E99" s="693">
        <f t="shared" si="7"/>
        <v>1.8284106891701828</v>
      </c>
      <c r="F99" s="689">
        <f t="shared" si="5"/>
        <v>1.8284106891701828</v>
      </c>
      <c r="G99" s="689">
        <f t="shared" si="6"/>
        <v>13</v>
      </c>
      <c r="H99" s="606" t="s">
        <v>543</v>
      </c>
      <c r="I99" s="686"/>
      <c r="J99" s="686"/>
      <c r="K99" s="697" t="s">
        <v>544</v>
      </c>
      <c r="L99" s="686"/>
      <c r="M99" s="606"/>
      <c r="N99" s="686"/>
      <c r="O99" s="686"/>
      <c r="P99" s="699"/>
      <c r="Q99" s="699"/>
      <c r="R99" s="699"/>
      <c r="S99" s="699"/>
      <c r="T99" s="707"/>
    </row>
    <row r="100" spans="1:20" hidden="1">
      <c r="A100" s="686"/>
      <c r="B100" s="564" t="s">
        <v>619</v>
      </c>
      <c r="C100" s="687"/>
      <c r="D100" s="688">
        <f>'[2]总投资-发采购-0411-GLP拆分场外费用(司调)'!G133</f>
        <v>58</v>
      </c>
      <c r="E100" s="693">
        <f t="shared" si="7"/>
        <v>8.157524613220815</v>
      </c>
      <c r="F100" s="689">
        <f t="shared" si="5"/>
        <v>8.157524613220815</v>
      </c>
      <c r="G100" s="689">
        <f t="shared" si="6"/>
        <v>58</v>
      </c>
      <c r="H100" s="606" t="s">
        <v>543</v>
      </c>
      <c r="I100" s="686"/>
      <c r="J100" s="686"/>
      <c r="K100" s="697" t="s">
        <v>544</v>
      </c>
      <c r="L100" s="686"/>
      <c r="M100" s="606"/>
      <c r="N100" s="686"/>
      <c r="O100" s="686"/>
      <c r="P100" s="699"/>
      <c r="Q100" s="699"/>
      <c r="R100" s="699"/>
      <c r="S100" s="699"/>
      <c r="T100" s="707"/>
    </row>
    <row r="101" spans="1:20" hidden="1">
      <c r="A101" s="686">
        <v>2.9</v>
      </c>
      <c r="B101" s="564" t="s">
        <v>620</v>
      </c>
      <c r="C101" s="687"/>
      <c r="D101" s="688">
        <f>'[2]总投资-发采购-0411-GLP拆分场外费用(司调)'!G95</f>
        <v>13789.8726650923</v>
      </c>
      <c r="E101" s="693">
        <f t="shared" si="7"/>
        <v>1939.5038910115752</v>
      </c>
      <c r="F101" s="689">
        <f t="shared" si="5"/>
        <v>1939.5038910115752</v>
      </c>
      <c r="G101" s="689">
        <f t="shared" si="6"/>
        <v>13789.8726650923</v>
      </c>
      <c r="H101" s="606" t="s">
        <v>543</v>
      </c>
      <c r="I101" s="686"/>
      <c r="J101" s="686"/>
      <c r="K101" s="697" t="s">
        <v>544</v>
      </c>
      <c r="L101" s="686"/>
      <c r="M101" s="606"/>
      <c r="N101" s="686"/>
      <c r="O101" s="686"/>
      <c r="P101" s="699"/>
      <c r="Q101" s="699"/>
      <c r="R101" s="699"/>
      <c r="S101" s="699"/>
      <c r="T101" s="707"/>
    </row>
    <row r="102" spans="1:20" hidden="1">
      <c r="A102" s="686" t="s">
        <v>248</v>
      </c>
      <c r="B102" s="564" t="s">
        <v>621</v>
      </c>
      <c r="C102" s="687"/>
      <c r="D102" s="688">
        <f>'[2]总投资-发采购-0411-GLP拆分场外费用(司调)'!G96</f>
        <v>10541.2785526889</v>
      </c>
      <c r="E102" s="693">
        <f t="shared" si="7"/>
        <v>1482.5989525582138</v>
      </c>
      <c r="F102" s="689">
        <f t="shared" si="5"/>
        <v>1482.5989525582138</v>
      </c>
      <c r="G102" s="689">
        <f t="shared" si="6"/>
        <v>10541.2785526889</v>
      </c>
      <c r="H102" s="606" t="s">
        <v>543</v>
      </c>
      <c r="I102" s="686"/>
      <c r="J102" s="686"/>
      <c r="K102" s="697" t="s">
        <v>544</v>
      </c>
      <c r="L102" s="686"/>
      <c r="M102" s="606"/>
      <c r="N102" s="686"/>
      <c r="O102" s="686"/>
      <c r="P102" s="699"/>
      <c r="Q102" s="699"/>
      <c r="R102" s="699"/>
      <c r="S102" s="699"/>
      <c r="T102" s="707"/>
    </row>
    <row r="103" spans="1:20" hidden="1">
      <c r="A103" s="686" t="s">
        <v>249</v>
      </c>
      <c r="B103" s="564" t="s">
        <v>622</v>
      </c>
      <c r="C103" s="687"/>
      <c r="D103" s="688">
        <f>'[2]总投资-发采购-0411-GLP拆分场外费用(司调)'!G97</f>
        <v>35.581440000000001</v>
      </c>
      <c r="E103" s="693">
        <f t="shared" si="7"/>
        <v>5.0044219409282702</v>
      </c>
      <c r="F103" s="689">
        <f t="shared" si="5"/>
        <v>5.0044219409282702</v>
      </c>
      <c r="G103" s="689">
        <f t="shared" si="6"/>
        <v>35.581440000000001</v>
      </c>
      <c r="H103" s="606" t="s">
        <v>543</v>
      </c>
      <c r="I103" s="686"/>
      <c r="J103" s="686"/>
      <c r="K103" s="697" t="s">
        <v>544</v>
      </c>
      <c r="L103" s="686"/>
      <c r="M103" s="606"/>
      <c r="N103" s="686"/>
      <c r="O103" s="686"/>
      <c r="P103" s="699"/>
      <c r="Q103" s="699"/>
      <c r="R103" s="699"/>
      <c r="S103" s="699"/>
      <c r="T103" s="707"/>
    </row>
    <row r="104" spans="1:20" hidden="1">
      <c r="A104" s="686" t="s">
        <v>250</v>
      </c>
      <c r="B104" s="564" t="s">
        <v>623</v>
      </c>
      <c r="C104" s="687"/>
      <c r="D104" s="688">
        <f>'[2]总投资-发采购-0411-GLP拆分场外费用(司调)'!G98</f>
        <v>320.23295999999999</v>
      </c>
      <c r="E104" s="693">
        <f t="shared" si="7"/>
        <v>45.039797468354429</v>
      </c>
      <c r="F104" s="689">
        <f t="shared" si="5"/>
        <v>45.039797468354429</v>
      </c>
      <c r="G104" s="689">
        <f t="shared" si="6"/>
        <v>320.23295999999999</v>
      </c>
      <c r="H104" s="606" t="s">
        <v>543</v>
      </c>
      <c r="I104" s="686"/>
      <c r="J104" s="686"/>
      <c r="K104" s="697" t="s">
        <v>544</v>
      </c>
      <c r="L104" s="686"/>
      <c r="M104" s="606"/>
      <c r="N104" s="686"/>
      <c r="O104" s="686"/>
      <c r="P104" s="699"/>
      <c r="Q104" s="699"/>
      <c r="R104" s="699"/>
      <c r="S104" s="699"/>
      <c r="T104" s="707"/>
    </row>
    <row r="105" spans="1:20" hidden="1">
      <c r="A105" s="686" t="s">
        <v>251</v>
      </c>
      <c r="B105" s="564" t="s">
        <v>624</v>
      </c>
      <c r="C105" s="687"/>
      <c r="D105" s="688">
        <f>'[2]总投资-发采购-0411-GLP拆分场外费用(司调)'!G99</f>
        <v>249.07007999999999</v>
      </c>
      <c r="E105" s="693">
        <f t="shared" si="7"/>
        <v>35.030953586497887</v>
      </c>
      <c r="F105" s="689">
        <f t="shared" si="5"/>
        <v>35.030953586497887</v>
      </c>
      <c r="G105" s="689">
        <f t="shared" si="6"/>
        <v>249.07007999999999</v>
      </c>
      <c r="H105" s="606" t="s">
        <v>543</v>
      </c>
      <c r="I105" s="686"/>
      <c r="J105" s="686"/>
      <c r="K105" s="697" t="s">
        <v>544</v>
      </c>
      <c r="L105" s="686"/>
      <c r="M105" s="606"/>
      <c r="N105" s="686"/>
      <c r="O105" s="686"/>
      <c r="P105" s="699"/>
      <c r="Q105" s="699"/>
      <c r="R105" s="699"/>
      <c r="S105" s="699"/>
      <c r="T105" s="707"/>
    </row>
    <row r="106" spans="1:20" hidden="1">
      <c r="A106" s="686" t="s">
        <v>252</v>
      </c>
      <c r="B106" s="564" t="s">
        <v>625</v>
      </c>
      <c r="C106" s="687"/>
      <c r="D106" s="688">
        <f>'[2]总投资-发采购-0411-GLP拆分场外费用(司调)'!G100</f>
        <v>551.51232000000005</v>
      </c>
      <c r="E106" s="693">
        <f t="shared" si="7"/>
        <v>77.568540084388189</v>
      </c>
      <c r="F106" s="689">
        <f t="shared" si="5"/>
        <v>77.568540084388189</v>
      </c>
      <c r="G106" s="689">
        <f t="shared" si="6"/>
        <v>551.51232000000005</v>
      </c>
      <c r="H106" s="606" t="s">
        <v>543</v>
      </c>
      <c r="I106" s="686"/>
      <c r="J106" s="686"/>
      <c r="K106" s="697" t="s">
        <v>544</v>
      </c>
      <c r="L106" s="686"/>
      <c r="M106" s="606"/>
      <c r="N106" s="686"/>
      <c r="O106" s="686"/>
      <c r="P106" s="699"/>
      <c r="Q106" s="699"/>
      <c r="R106" s="699"/>
      <c r="S106" s="699"/>
      <c r="T106" s="707"/>
    </row>
    <row r="107" spans="1:20" hidden="1">
      <c r="A107" s="686" t="s">
        <v>253</v>
      </c>
      <c r="B107" s="564" t="s">
        <v>626</v>
      </c>
      <c r="C107" s="687"/>
      <c r="D107" s="688">
        <f>'[2]总投资-发采购-0411-GLP拆分场外费用(司调)'!G101</f>
        <v>151.97692630333501</v>
      </c>
      <c r="E107" s="693">
        <f t="shared" si="7"/>
        <v>21.375095120018987</v>
      </c>
      <c r="F107" s="689">
        <f t="shared" si="5"/>
        <v>21.375095120018987</v>
      </c>
      <c r="G107" s="689">
        <f t="shared" si="6"/>
        <v>151.97692630333501</v>
      </c>
      <c r="H107" s="606" t="s">
        <v>543</v>
      </c>
      <c r="I107" s="686"/>
      <c r="J107" s="686"/>
      <c r="K107" s="697" t="s">
        <v>544</v>
      </c>
      <c r="L107" s="686"/>
      <c r="M107" s="606"/>
      <c r="N107" s="686"/>
      <c r="O107" s="686"/>
      <c r="P107" s="699"/>
      <c r="Q107" s="699"/>
      <c r="R107" s="699"/>
      <c r="S107" s="699"/>
      <c r="T107" s="707"/>
    </row>
    <row r="108" spans="1:20" hidden="1">
      <c r="A108" s="686" t="s">
        <v>254</v>
      </c>
      <c r="B108" s="564" t="s">
        <v>627</v>
      </c>
      <c r="C108" s="687"/>
      <c r="D108" s="688">
        <f>'[2]总投资-发采购-0411-GLP拆分场外费用(司调)'!G102</f>
        <v>555.96</v>
      </c>
      <c r="E108" s="693">
        <f t="shared" si="7"/>
        <v>78.194092827004226</v>
      </c>
      <c r="F108" s="689">
        <f t="shared" si="5"/>
        <v>78.194092827004226</v>
      </c>
      <c r="G108" s="689">
        <f t="shared" si="6"/>
        <v>555.96</v>
      </c>
      <c r="H108" s="606" t="s">
        <v>543</v>
      </c>
      <c r="I108" s="686"/>
      <c r="J108" s="686"/>
      <c r="K108" s="697" t="s">
        <v>544</v>
      </c>
      <c r="L108" s="686"/>
      <c r="M108" s="606"/>
      <c r="N108" s="686"/>
      <c r="O108" s="686"/>
      <c r="P108" s="699"/>
      <c r="Q108" s="699"/>
      <c r="R108" s="699"/>
      <c r="S108" s="699"/>
      <c r="T108" s="707"/>
    </row>
    <row r="109" spans="1:20" hidden="1">
      <c r="A109" s="686"/>
      <c r="B109" s="564" t="s">
        <v>628</v>
      </c>
      <c r="C109" s="687"/>
      <c r="D109" s="688">
        <f>'[2]总投资-发采购-0411-GLP拆分场外费用(司调)'!G103</f>
        <v>1319.26038610009</v>
      </c>
      <c r="E109" s="693">
        <f t="shared" si="7"/>
        <v>185.54998398032208</v>
      </c>
      <c r="F109" s="689">
        <f t="shared" si="5"/>
        <v>185.54998398032208</v>
      </c>
      <c r="G109" s="689">
        <f t="shared" si="6"/>
        <v>1319.26038610009</v>
      </c>
      <c r="H109" s="606" t="s">
        <v>543</v>
      </c>
      <c r="I109" s="686"/>
      <c r="J109" s="686"/>
      <c r="K109" s="697" t="s">
        <v>544</v>
      </c>
      <c r="L109" s="686"/>
      <c r="M109" s="606"/>
      <c r="N109" s="686"/>
      <c r="O109" s="686"/>
      <c r="P109" s="699"/>
      <c r="Q109" s="699"/>
      <c r="R109" s="699"/>
      <c r="S109" s="699"/>
      <c r="T109" s="707"/>
    </row>
    <row r="110" spans="1:20" hidden="1">
      <c r="A110" s="686" t="s">
        <v>255</v>
      </c>
      <c r="B110" s="564" t="s">
        <v>629</v>
      </c>
      <c r="C110" s="687"/>
      <c r="D110" s="688">
        <f>'[2]总投资-发采购-0411-GLP拆分场外费用(司调)'!G104</f>
        <v>65</v>
      </c>
      <c r="E110" s="693">
        <f t="shared" si="7"/>
        <v>9.1420534458509142</v>
      </c>
      <c r="F110" s="689">
        <f t="shared" si="5"/>
        <v>9.1420534458509142</v>
      </c>
      <c r="G110" s="689">
        <f t="shared" si="6"/>
        <v>65</v>
      </c>
      <c r="H110" s="606" t="s">
        <v>543</v>
      </c>
      <c r="I110" s="686"/>
      <c r="J110" s="686"/>
      <c r="K110" s="697" t="s">
        <v>544</v>
      </c>
      <c r="L110" s="686"/>
      <c r="M110" s="606"/>
      <c r="N110" s="686"/>
      <c r="O110" s="686"/>
      <c r="P110" s="699"/>
      <c r="Q110" s="699"/>
      <c r="R110" s="699"/>
      <c r="S110" s="699"/>
      <c r="T110" s="707"/>
    </row>
    <row r="111" spans="1:20" hidden="1">
      <c r="A111" s="686"/>
      <c r="B111" s="564" t="s">
        <v>630</v>
      </c>
      <c r="C111" s="687"/>
      <c r="D111" s="688">
        <f>'[2]总投资-发采购-0411-GLP拆分场外费用(司调)'!G105</f>
        <v>1</v>
      </c>
      <c r="E111" s="693">
        <f t="shared" si="7"/>
        <v>0.14064697609001406</v>
      </c>
      <c r="F111" s="689">
        <f t="shared" si="5"/>
        <v>0.14064697609001406</v>
      </c>
      <c r="G111" s="689">
        <f t="shared" si="6"/>
        <v>1</v>
      </c>
      <c r="H111" s="606" t="s">
        <v>543</v>
      </c>
      <c r="I111" s="686"/>
      <c r="J111" s="686"/>
      <c r="K111" s="697" t="s">
        <v>544</v>
      </c>
      <c r="L111" s="686"/>
      <c r="M111" s="606"/>
      <c r="N111" s="686"/>
      <c r="O111" s="686"/>
      <c r="P111" s="699"/>
      <c r="Q111" s="699"/>
      <c r="R111" s="699"/>
      <c r="S111" s="699"/>
      <c r="T111" s="707"/>
    </row>
    <row r="112" spans="1:20" hidden="1">
      <c r="A112" s="686"/>
      <c r="B112" s="564" t="s">
        <v>631</v>
      </c>
      <c r="C112" s="687"/>
      <c r="D112" s="688">
        <f>'[2]总投资-发采购-0411-GLP拆分场外费用(司调)'!G106</f>
        <v>11</v>
      </c>
      <c r="E112" s="693">
        <f t="shared" si="7"/>
        <v>1.5471167369901546</v>
      </c>
      <c r="F112" s="689">
        <f t="shared" si="5"/>
        <v>1.5471167369901546</v>
      </c>
      <c r="G112" s="689">
        <f t="shared" si="6"/>
        <v>11</v>
      </c>
      <c r="H112" s="606" t="s">
        <v>543</v>
      </c>
      <c r="I112" s="686"/>
      <c r="J112" s="686"/>
      <c r="K112" s="697" t="s">
        <v>544</v>
      </c>
      <c r="L112" s="686"/>
      <c r="M112" s="606"/>
      <c r="N112" s="686"/>
      <c r="O112" s="686"/>
      <c r="P112" s="699"/>
      <c r="Q112" s="699"/>
      <c r="R112" s="699"/>
      <c r="S112" s="699"/>
      <c r="T112" s="707"/>
    </row>
    <row r="113" spans="1:20" hidden="1">
      <c r="A113" s="686"/>
      <c r="B113" s="564" t="s">
        <v>632</v>
      </c>
      <c r="C113" s="687"/>
      <c r="D113" s="688">
        <f>'[2]总投资-发采购-0411-GLP拆分场外费用(司调)'!G107</f>
        <v>53</v>
      </c>
      <c r="E113" s="693">
        <f t="shared" si="7"/>
        <v>7.4542897327707447</v>
      </c>
      <c r="F113" s="689">
        <f t="shared" si="5"/>
        <v>7.4542897327707447</v>
      </c>
      <c r="G113" s="689">
        <f t="shared" si="6"/>
        <v>53</v>
      </c>
      <c r="H113" s="606" t="s">
        <v>543</v>
      </c>
      <c r="I113" s="686"/>
      <c r="J113" s="686"/>
      <c r="K113" s="697" t="s">
        <v>544</v>
      </c>
      <c r="L113" s="686"/>
      <c r="M113" s="606"/>
      <c r="N113" s="686"/>
      <c r="O113" s="686"/>
      <c r="P113" s="699"/>
      <c r="Q113" s="699"/>
      <c r="R113" s="699"/>
      <c r="S113" s="699"/>
      <c r="T113" s="707"/>
    </row>
    <row r="114" spans="1:20" hidden="1">
      <c r="A114" s="686" t="s">
        <v>256</v>
      </c>
      <c r="B114" s="564" t="s">
        <v>633</v>
      </c>
      <c r="C114" s="687"/>
      <c r="D114" s="688">
        <f>'[2]总投资-发采购-0411-GLP拆分场外费用(司调)'!G199</f>
        <v>9618.8799999999992</v>
      </c>
      <c r="E114" s="693">
        <f t="shared" ref="E114:E118" si="8">D114/$A$3</f>
        <v>1352.8663853727144</v>
      </c>
      <c r="F114" s="689">
        <f t="shared" si="5"/>
        <v>1352.8663853727144</v>
      </c>
      <c r="G114" s="689">
        <f t="shared" si="6"/>
        <v>9618.8799999999992</v>
      </c>
      <c r="H114" s="606" t="s">
        <v>543</v>
      </c>
      <c r="I114" s="686"/>
      <c r="J114" s="686"/>
      <c r="K114" s="697" t="s">
        <v>544</v>
      </c>
      <c r="L114" s="686"/>
      <c r="M114" s="606"/>
      <c r="N114" s="686"/>
      <c r="O114" s="686"/>
      <c r="P114" s="699"/>
      <c r="Q114" s="699"/>
      <c r="R114" s="699"/>
      <c r="S114" s="699"/>
      <c r="T114" s="707"/>
    </row>
    <row r="115" spans="1:20" hidden="1">
      <c r="A115" s="686" t="s">
        <v>258</v>
      </c>
      <c r="B115" s="564" t="s">
        <v>634</v>
      </c>
      <c r="C115" s="687"/>
      <c r="D115" s="688">
        <f>'[2]总投资-发采购-0411-GLP拆分场外费用(司调)'!G200</f>
        <v>9330.3135999999995</v>
      </c>
      <c r="E115" s="693">
        <f t="shared" si="8"/>
        <v>1312.280393811533</v>
      </c>
      <c r="F115" s="689">
        <f t="shared" si="5"/>
        <v>1312.280393811533</v>
      </c>
      <c r="G115" s="689">
        <f t="shared" si="6"/>
        <v>9330.3135999999995</v>
      </c>
      <c r="H115" s="606" t="s">
        <v>543</v>
      </c>
      <c r="I115" s="686"/>
      <c r="J115" s="686"/>
      <c r="K115" s="697" t="s">
        <v>544</v>
      </c>
      <c r="L115" s="686"/>
      <c r="M115" s="606"/>
      <c r="N115" s="686"/>
      <c r="O115" s="686"/>
      <c r="P115" s="699"/>
      <c r="Q115" s="699"/>
      <c r="R115" s="699"/>
      <c r="S115" s="699"/>
      <c r="T115" s="707"/>
    </row>
    <row r="116" spans="1:20" hidden="1">
      <c r="A116" s="686" t="s">
        <v>260</v>
      </c>
      <c r="B116" s="564" t="s">
        <v>635</v>
      </c>
      <c r="C116" s="687"/>
      <c r="D116" s="688">
        <f>'[2]总投资-发采购-0411-GLP拆分场外费用(司调)'!G201</f>
        <v>288.56639999999999</v>
      </c>
      <c r="E116" s="693">
        <f t="shared" si="8"/>
        <v>40.58599156118143</v>
      </c>
      <c r="F116" s="689">
        <f t="shared" si="5"/>
        <v>40.58599156118143</v>
      </c>
      <c r="G116" s="689">
        <f t="shared" si="6"/>
        <v>288.56639999999999</v>
      </c>
      <c r="H116" s="606" t="s">
        <v>543</v>
      </c>
      <c r="I116" s="686"/>
      <c r="J116" s="686"/>
      <c r="K116" s="697" t="s">
        <v>544</v>
      </c>
      <c r="L116" s="686"/>
      <c r="M116" s="606"/>
      <c r="N116" s="686"/>
      <c r="O116" s="686"/>
      <c r="P116" s="699"/>
      <c r="Q116" s="699"/>
      <c r="R116" s="699"/>
      <c r="S116" s="699"/>
      <c r="T116" s="707"/>
    </row>
    <row r="117" spans="1:20">
      <c r="A117" s="606" t="s">
        <v>38</v>
      </c>
      <c r="B117" s="564" t="s">
        <v>636</v>
      </c>
      <c r="C117" s="683" t="s">
        <v>637</v>
      </c>
      <c r="D117" s="684">
        <f>SUM('[2]总投资-发采购-0411-GLP拆分场外费用(司调)'!G134,'[2]总投资-发采购-0411-GLP拆分场外费用(司调)'!G147,'[2]总投资-发采购-0411-GLP拆分场外费用(司调)'!G160)</f>
        <v>47558.926001233798</v>
      </c>
      <c r="E117" s="695">
        <f t="shared" si="8"/>
        <v>6689.0191281622783</v>
      </c>
      <c r="F117" s="685">
        <f t="shared" si="5"/>
        <v>6689.0191281622783</v>
      </c>
      <c r="G117" s="685">
        <f t="shared" si="6"/>
        <v>47558.926001233798</v>
      </c>
      <c r="H117" s="606" t="s">
        <v>543</v>
      </c>
      <c r="I117" s="606" t="s">
        <v>79</v>
      </c>
      <c r="J117" s="606">
        <v>18</v>
      </c>
      <c r="K117" s="697" t="s">
        <v>31</v>
      </c>
      <c r="L117" s="606" t="s">
        <v>135</v>
      </c>
      <c r="M117" s="606"/>
      <c r="N117" s="606"/>
      <c r="O117" s="606"/>
      <c r="P117" s="698" t="s">
        <v>225</v>
      </c>
      <c r="Q117" s="698" t="s">
        <v>226</v>
      </c>
      <c r="R117" s="698" t="s">
        <v>714</v>
      </c>
      <c r="S117" s="698" t="s">
        <v>228</v>
      </c>
      <c r="T117" s="697"/>
    </row>
    <row r="118" spans="1:20" hidden="1">
      <c r="A118" s="686">
        <v>2.12</v>
      </c>
      <c r="B118" s="690" t="s">
        <v>720</v>
      </c>
      <c r="C118" s="687"/>
      <c r="D118" s="688">
        <f>'[2]总投资-发采购-0411-GLP拆分场外费用(司调)'!G134</f>
        <v>15098.998477818201</v>
      </c>
      <c r="E118" s="693">
        <f t="shared" si="8"/>
        <v>2123.6284778928552</v>
      </c>
      <c r="F118" s="689">
        <f t="shared" si="5"/>
        <v>2123.6284778928552</v>
      </c>
      <c r="G118" s="689">
        <f t="shared" si="6"/>
        <v>15098.998477818201</v>
      </c>
      <c r="H118" s="606" t="s">
        <v>543</v>
      </c>
      <c r="I118" s="686"/>
      <c r="J118" s="686"/>
      <c r="K118" s="697" t="s">
        <v>544</v>
      </c>
      <c r="L118" s="686"/>
      <c r="M118" s="606"/>
      <c r="N118" s="686"/>
      <c r="O118" s="686"/>
      <c r="P118" s="699"/>
      <c r="Q118" s="699"/>
      <c r="R118" s="699"/>
      <c r="S118" s="699"/>
      <c r="T118" s="707"/>
    </row>
    <row r="119" spans="1:20" hidden="1">
      <c r="A119" s="686" t="s">
        <v>265</v>
      </c>
      <c r="B119" s="690" t="s">
        <v>677</v>
      </c>
      <c r="C119" s="687"/>
      <c r="D119" s="688">
        <f>'[2]总投资-发采购-0411-GLP拆分场外费用(司调)'!G135</f>
        <v>12124.859358359399</v>
      </c>
      <c r="E119" s="693">
        <f t="shared" ref="E119:E182" si="9">D119/$A$3</f>
        <v>1705.3248042699577</v>
      </c>
      <c r="F119" s="689">
        <f t="shared" si="5"/>
        <v>1705.3248042699577</v>
      </c>
      <c r="G119" s="689">
        <f t="shared" si="6"/>
        <v>12124.859358359399</v>
      </c>
      <c r="H119" s="606" t="s">
        <v>543</v>
      </c>
      <c r="I119" s="686"/>
      <c r="J119" s="686"/>
      <c r="K119" s="697" t="s">
        <v>544</v>
      </c>
      <c r="L119" s="686"/>
      <c r="M119" s="606"/>
      <c r="N119" s="686"/>
      <c r="O119" s="686"/>
      <c r="P119" s="699"/>
      <c r="Q119" s="699"/>
      <c r="R119" s="699"/>
      <c r="S119" s="699"/>
      <c r="T119" s="707"/>
    </row>
    <row r="120" spans="1:20" hidden="1">
      <c r="A120" s="686" t="s">
        <v>266</v>
      </c>
      <c r="B120" s="690" t="s">
        <v>678</v>
      </c>
      <c r="C120" s="687"/>
      <c r="D120" s="688">
        <f>'[2]总投资-发采购-0411-GLP拆分场外费用(司调)'!G136</f>
        <v>40.926720000000003</v>
      </c>
      <c r="E120" s="693">
        <f t="shared" si="9"/>
        <v>5.7562194092827008</v>
      </c>
      <c r="F120" s="689">
        <f t="shared" si="5"/>
        <v>5.7562194092827008</v>
      </c>
      <c r="G120" s="689">
        <f t="shared" si="6"/>
        <v>40.926720000000003</v>
      </c>
      <c r="H120" s="606" t="s">
        <v>543</v>
      </c>
      <c r="I120" s="686"/>
      <c r="J120" s="686"/>
      <c r="K120" s="697" t="s">
        <v>544</v>
      </c>
      <c r="L120" s="686"/>
      <c r="M120" s="606"/>
      <c r="N120" s="686"/>
      <c r="O120" s="686"/>
      <c r="P120" s="699"/>
      <c r="Q120" s="699"/>
      <c r="R120" s="699"/>
      <c r="S120" s="699"/>
      <c r="T120" s="707"/>
    </row>
    <row r="121" spans="1:20" hidden="1">
      <c r="A121" s="686" t="s">
        <v>267</v>
      </c>
      <c r="B121" s="690" t="s">
        <v>679</v>
      </c>
      <c r="C121" s="687"/>
      <c r="D121" s="688">
        <f>'[2]总投资-发采购-0411-GLP拆分场外费用(司调)'!G137</f>
        <v>368.34048000000001</v>
      </c>
      <c r="E121" s="693">
        <f t="shared" si="9"/>
        <v>51.805974683544306</v>
      </c>
      <c r="F121" s="689">
        <f t="shared" si="5"/>
        <v>51.805974683544306</v>
      </c>
      <c r="G121" s="689">
        <f t="shared" si="6"/>
        <v>368.34048000000001</v>
      </c>
      <c r="H121" s="606" t="s">
        <v>543</v>
      </c>
      <c r="I121" s="686"/>
      <c r="J121" s="686"/>
      <c r="K121" s="697" t="s">
        <v>544</v>
      </c>
      <c r="L121" s="686"/>
      <c r="M121" s="606"/>
      <c r="N121" s="686"/>
      <c r="O121" s="686"/>
      <c r="P121" s="699"/>
      <c r="Q121" s="699"/>
      <c r="R121" s="699"/>
      <c r="S121" s="699"/>
      <c r="T121" s="707"/>
    </row>
    <row r="122" spans="1:20" hidden="1">
      <c r="A122" s="686" t="s">
        <v>268</v>
      </c>
      <c r="B122" s="690" t="s">
        <v>680</v>
      </c>
      <c r="C122" s="687"/>
      <c r="D122" s="688">
        <f>'[2]总投资-发采购-0411-GLP拆分场外费用(司调)'!G138</f>
        <v>286.48703999999998</v>
      </c>
      <c r="E122" s="693">
        <f t="shared" si="9"/>
        <v>40.293535864978899</v>
      </c>
      <c r="F122" s="689">
        <f t="shared" si="5"/>
        <v>40.293535864978899</v>
      </c>
      <c r="G122" s="689">
        <f t="shared" si="6"/>
        <v>286.48703999999998</v>
      </c>
      <c r="H122" s="606" t="s">
        <v>543</v>
      </c>
      <c r="I122" s="686"/>
      <c r="J122" s="686"/>
      <c r="K122" s="697" t="s">
        <v>544</v>
      </c>
      <c r="L122" s="686"/>
      <c r="M122" s="606"/>
      <c r="N122" s="686"/>
      <c r="O122" s="686"/>
      <c r="P122" s="699"/>
      <c r="Q122" s="699"/>
      <c r="R122" s="699"/>
      <c r="S122" s="699"/>
      <c r="T122" s="707"/>
    </row>
    <row r="123" spans="1:20" hidden="1">
      <c r="A123" s="686" t="s">
        <v>269</v>
      </c>
      <c r="B123" s="690" t="s">
        <v>681</v>
      </c>
      <c r="C123" s="687"/>
      <c r="D123" s="688">
        <f>'[2]总投资-发采购-0411-GLP拆分场外费用(司调)'!G139</f>
        <v>634.36415999999997</v>
      </c>
      <c r="E123" s="693">
        <f t="shared" si="9"/>
        <v>89.221400843881852</v>
      </c>
      <c r="F123" s="689">
        <f t="shared" si="5"/>
        <v>89.221400843881852</v>
      </c>
      <c r="G123" s="689">
        <f t="shared" si="6"/>
        <v>634.36415999999997</v>
      </c>
      <c r="H123" s="606" t="s">
        <v>543</v>
      </c>
      <c r="I123" s="686"/>
      <c r="J123" s="686"/>
      <c r="K123" s="697" t="s">
        <v>544</v>
      </c>
      <c r="L123" s="686"/>
      <c r="M123" s="606"/>
      <c r="N123" s="686"/>
      <c r="O123" s="686"/>
      <c r="P123" s="699"/>
      <c r="Q123" s="699"/>
      <c r="R123" s="699"/>
      <c r="S123" s="699"/>
      <c r="T123" s="707"/>
    </row>
    <row r="124" spans="1:20" hidden="1">
      <c r="A124" s="686" t="s">
        <v>270</v>
      </c>
      <c r="B124" s="690" t="s">
        <v>682</v>
      </c>
      <c r="C124" s="687"/>
      <c r="D124" s="688">
        <f>'[2]总投资-发采购-0411-GLP拆分场外费用(司调)'!G140</f>
        <v>174.807908541004</v>
      </c>
      <c r="E124" s="693">
        <f t="shared" si="9"/>
        <v>24.586203732911954</v>
      </c>
      <c r="F124" s="689">
        <f t="shared" si="5"/>
        <v>24.586203732911954</v>
      </c>
      <c r="G124" s="689">
        <f t="shared" si="6"/>
        <v>174.807908541004</v>
      </c>
      <c r="H124" s="606" t="s">
        <v>543</v>
      </c>
      <c r="I124" s="686"/>
      <c r="J124" s="686"/>
      <c r="K124" s="697" t="s">
        <v>544</v>
      </c>
      <c r="L124" s="686"/>
      <c r="M124" s="606"/>
      <c r="N124" s="686"/>
      <c r="O124" s="686"/>
      <c r="P124" s="699"/>
      <c r="Q124" s="699"/>
      <c r="R124" s="699"/>
      <c r="S124" s="699"/>
      <c r="T124" s="707"/>
    </row>
    <row r="125" spans="1:20" hidden="1">
      <c r="A125" s="686" t="s">
        <v>271</v>
      </c>
      <c r="B125" s="690" t="s">
        <v>683</v>
      </c>
      <c r="C125" s="687"/>
      <c r="D125" s="688">
        <f>'[2]总投资-发采购-0411-GLP拆分场外费用(司调)'!G141</f>
        <v>639.48</v>
      </c>
      <c r="E125" s="693">
        <f t="shared" si="9"/>
        <v>89.940928270042193</v>
      </c>
      <c r="F125" s="689">
        <f t="shared" si="5"/>
        <v>89.940928270042193</v>
      </c>
      <c r="G125" s="689">
        <f t="shared" si="6"/>
        <v>639.48</v>
      </c>
      <c r="H125" s="606" t="s">
        <v>543</v>
      </c>
      <c r="I125" s="686"/>
      <c r="J125" s="686"/>
      <c r="K125" s="697" t="s">
        <v>544</v>
      </c>
      <c r="L125" s="686"/>
      <c r="M125" s="606"/>
      <c r="N125" s="686"/>
      <c r="O125" s="686"/>
      <c r="P125" s="699"/>
      <c r="Q125" s="699"/>
      <c r="R125" s="699"/>
      <c r="S125" s="699"/>
      <c r="T125" s="707"/>
    </row>
    <row r="126" spans="1:20" hidden="1">
      <c r="A126" s="686"/>
      <c r="B126" s="690" t="s">
        <v>684</v>
      </c>
      <c r="C126" s="687"/>
      <c r="D126" s="688">
        <f>'[2]总投资-发采购-0411-GLP拆分场外费用(司调)'!G142</f>
        <v>757.73281091787499</v>
      </c>
      <c r="E126" s="693">
        <f t="shared" si="9"/>
        <v>106.5728285397855</v>
      </c>
      <c r="F126" s="689">
        <f t="shared" si="5"/>
        <v>106.5728285397855</v>
      </c>
      <c r="G126" s="689">
        <f t="shared" si="6"/>
        <v>757.73281091787499</v>
      </c>
      <c r="H126" s="606" t="s">
        <v>543</v>
      </c>
      <c r="I126" s="686"/>
      <c r="J126" s="686"/>
      <c r="K126" s="697" t="s">
        <v>544</v>
      </c>
      <c r="L126" s="686"/>
      <c r="M126" s="606"/>
      <c r="N126" s="686"/>
      <c r="O126" s="686"/>
      <c r="P126" s="699"/>
      <c r="Q126" s="699"/>
      <c r="R126" s="699"/>
      <c r="S126" s="699"/>
      <c r="T126" s="707"/>
    </row>
    <row r="127" spans="1:20" hidden="1">
      <c r="A127" s="686" t="s">
        <v>272</v>
      </c>
      <c r="B127" s="690" t="s">
        <v>685</v>
      </c>
      <c r="C127" s="687"/>
      <c r="D127" s="688">
        <f>'[2]总投资-发采购-0411-GLP拆分场外费用(司调)'!G143</f>
        <v>72</v>
      </c>
      <c r="E127" s="693">
        <f t="shared" si="9"/>
        <v>10.126582278481012</v>
      </c>
      <c r="F127" s="689">
        <f t="shared" si="5"/>
        <v>10.126582278481012</v>
      </c>
      <c r="G127" s="689">
        <f t="shared" si="6"/>
        <v>72</v>
      </c>
      <c r="H127" s="606" t="s">
        <v>543</v>
      </c>
      <c r="I127" s="686"/>
      <c r="J127" s="686"/>
      <c r="K127" s="697" t="s">
        <v>544</v>
      </c>
      <c r="L127" s="686"/>
      <c r="M127" s="606"/>
      <c r="N127" s="686"/>
      <c r="O127" s="686"/>
      <c r="P127" s="699"/>
      <c r="Q127" s="699"/>
      <c r="R127" s="699"/>
      <c r="S127" s="699"/>
      <c r="T127" s="707"/>
    </row>
    <row r="128" spans="1:20" hidden="1">
      <c r="A128" s="686"/>
      <c r="B128" s="690" t="s">
        <v>686</v>
      </c>
      <c r="C128" s="687"/>
      <c r="D128" s="688">
        <f>'[2]总投资-发采购-0411-GLP拆分场外费用(司调)'!G144</f>
        <v>1</v>
      </c>
      <c r="E128" s="693">
        <f t="shared" si="9"/>
        <v>0.14064697609001406</v>
      </c>
      <c r="F128" s="689">
        <f t="shared" si="5"/>
        <v>0.14064697609001406</v>
      </c>
      <c r="G128" s="689">
        <f t="shared" si="6"/>
        <v>1</v>
      </c>
      <c r="H128" s="606" t="s">
        <v>543</v>
      </c>
      <c r="I128" s="686"/>
      <c r="J128" s="686"/>
      <c r="K128" s="697" t="s">
        <v>544</v>
      </c>
      <c r="L128" s="686"/>
      <c r="M128" s="606"/>
      <c r="N128" s="686"/>
      <c r="O128" s="686"/>
      <c r="P128" s="699"/>
      <c r="Q128" s="699"/>
      <c r="R128" s="699"/>
      <c r="S128" s="699"/>
      <c r="T128" s="707"/>
    </row>
    <row r="129" spans="1:20" hidden="1">
      <c r="A129" s="686"/>
      <c r="B129" s="690" t="s">
        <v>687</v>
      </c>
      <c r="C129" s="687"/>
      <c r="D129" s="688">
        <f>'[2]总投资-发采购-0411-GLP拆分场外费用(司调)'!G145</f>
        <v>13</v>
      </c>
      <c r="E129" s="693">
        <f t="shared" si="9"/>
        <v>1.8284106891701828</v>
      </c>
      <c r="F129" s="689">
        <f t="shared" si="5"/>
        <v>1.8284106891701828</v>
      </c>
      <c r="G129" s="689">
        <f t="shared" si="6"/>
        <v>13</v>
      </c>
      <c r="H129" s="606" t="s">
        <v>543</v>
      </c>
      <c r="I129" s="686"/>
      <c r="J129" s="686"/>
      <c r="K129" s="697" t="s">
        <v>544</v>
      </c>
      <c r="L129" s="686"/>
      <c r="M129" s="606"/>
      <c r="N129" s="686"/>
      <c r="O129" s="686"/>
      <c r="P129" s="699"/>
      <c r="Q129" s="699"/>
      <c r="R129" s="699"/>
      <c r="S129" s="699"/>
      <c r="T129" s="707"/>
    </row>
    <row r="130" spans="1:20" hidden="1">
      <c r="A130" s="686"/>
      <c r="B130" s="690" t="s">
        <v>688</v>
      </c>
      <c r="C130" s="687"/>
      <c r="D130" s="688">
        <f>'[2]总投资-发采购-0411-GLP拆分场外费用(司调)'!G146</f>
        <v>58</v>
      </c>
      <c r="E130" s="693">
        <f t="shared" si="9"/>
        <v>8.157524613220815</v>
      </c>
      <c r="F130" s="689">
        <f t="shared" si="5"/>
        <v>8.157524613220815</v>
      </c>
      <c r="G130" s="689">
        <f t="shared" si="6"/>
        <v>58</v>
      </c>
      <c r="H130" s="606" t="s">
        <v>543</v>
      </c>
      <c r="I130" s="686"/>
      <c r="J130" s="686"/>
      <c r="K130" s="697" t="s">
        <v>544</v>
      </c>
      <c r="L130" s="686"/>
      <c r="M130" s="606"/>
      <c r="N130" s="686"/>
      <c r="O130" s="686"/>
      <c r="P130" s="699"/>
      <c r="Q130" s="699"/>
      <c r="R130" s="699"/>
      <c r="S130" s="699"/>
      <c r="T130" s="707"/>
    </row>
    <row r="131" spans="1:20" hidden="1">
      <c r="A131" s="686">
        <v>2.13</v>
      </c>
      <c r="B131" s="690" t="s">
        <v>721</v>
      </c>
      <c r="C131" s="687"/>
      <c r="D131" s="688">
        <f>'[2]总投资-发采购-0411-GLP拆分场外费用(司调)'!G147</f>
        <v>15276.624860273199</v>
      </c>
      <c r="E131" s="693">
        <f t="shared" si="9"/>
        <v>2148.611091458959</v>
      </c>
      <c r="F131" s="689">
        <f t="shared" si="5"/>
        <v>2148.611091458959</v>
      </c>
      <c r="G131" s="689">
        <f t="shared" si="6"/>
        <v>15276.624860273199</v>
      </c>
      <c r="H131" s="606" t="s">
        <v>543</v>
      </c>
      <c r="I131" s="686"/>
      <c r="J131" s="686"/>
      <c r="K131" s="697" t="s">
        <v>544</v>
      </c>
      <c r="L131" s="686"/>
      <c r="M131" s="606"/>
      <c r="N131" s="686"/>
      <c r="O131" s="686"/>
      <c r="P131" s="699"/>
      <c r="Q131" s="699"/>
      <c r="R131" s="699"/>
      <c r="S131" s="699"/>
      <c r="T131" s="707"/>
    </row>
    <row r="132" spans="1:20" hidden="1">
      <c r="A132" s="686" t="s">
        <v>274</v>
      </c>
      <c r="B132" s="690" t="s">
        <v>677</v>
      </c>
      <c r="C132" s="687"/>
      <c r="D132" s="688">
        <f>'[2]总投资-发采购-0411-GLP拆分场外费用(司调)'!G148</f>
        <v>12124.859358359399</v>
      </c>
      <c r="E132" s="693">
        <f t="shared" si="9"/>
        <v>1705.3248042699577</v>
      </c>
      <c r="F132" s="689">
        <f t="shared" si="5"/>
        <v>1705.3248042699577</v>
      </c>
      <c r="G132" s="689">
        <f t="shared" si="6"/>
        <v>12124.859358359399</v>
      </c>
      <c r="H132" s="606" t="s">
        <v>543</v>
      </c>
      <c r="I132" s="686"/>
      <c r="J132" s="686"/>
      <c r="K132" s="697" t="s">
        <v>544</v>
      </c>
      <c r="L132" s="686"/>
      <c r="M132" s="606"/>
      <c r="N132" s="686"/>
      <c r="O132" s="686"/>
      <c r="P132" s="699"/>
      <c r="Q132" s="699"/>
      <c r="R132" s="699"/>
      <c r="S132" s="699"/>
      <c r="T132" s="707"/>
    </row>
    <row r="133" spans="1:20" hidden="1">
      <c r="A133" s="686" t="s">
        <v>275</v>
      </c>
      <c r="B133" s="690" t="s">
        <v>678</v>
      </c>
      <c r="C133" s="687"/>
      <c r="D133" s="688">
        <f>'[2]总投资-发采购-0411-GLP拆分场外费用(司调)'!G149</f>
        <v>40.926720000000003</v>
      </c>
      <c r="E133" s="693">
        <f t="shared" si="9"/>
        <v>5.7562194092827008</v>
      </c>
      <c r="F133" s="689">
        <f t="shared" si="5"/>
        <v>5.7562194092827008</v>
      </c>
      <c r="G133" s="689">
        <f t="shared" si="6"/>
        <v>40.926720000000003</v>
      </c>
      <c r="H133" s="606" t="s">
        <v>543</v>
      </c>
      <c r="I133" s="686"/>
      <c r="J133" s="686"/>
      <c r="K133" s="697" t="s">
        <v>544</v>
      </c>
      <c r="L133" s="686"/>
      <c r="M133" s="606"/>
      <c r="N133" s="686"/>
      <c r="O133" s="686"/>
      <c r="P133" s="699"/>
      <c r="Q133" s="699"/>
      <c r="R133" s="699"/>
      <c r="S133" s="699"/>
      <c r="T133" s="707"/>
    </row>
    <row r="134" spans="1:20" hidden="1">
      <c r="A134" s="686" t="s">
        <v>276</v>
      </c>
      <c r="B134" s="690" t="s">
        <v>679</v>
      </c>
      <c r="C134" s="687"/>
      <c r="D134" s="688">
        <f>'[2]总投资-发采购-0411-GLP拆分场外费用(司调)'!G150</f>
        <v>368.34048000000001</v>
      </c>
      <c r="E134" s="693">
        <f t="shared" si="9"/>
        <v>51.805974683544306</v>
      </c>
      <c r="F134" s="689">
        <f t="shared" si="5"/>
        <v>51.805974683544306</v>
      </c>
      <c r="G134" s="689">
        <f t="shared" si="6"/>
        <v>368.34048000000001</v>
      </c>
      <c r="H134" s="606" t="s">
        <v>543</v>
      </c>
      <c r="I134" s="686"/>
      <c r="J134" s="686"/>
      <c r="K134" s="697" t="s">
        <v>544</v>
      </c>
      <c r="L134" s="686"/>
      <c r="M134" s="606"/>
      <c r="N134" s="686"/>
      <c r="O134" s="686"/>
      <c r="P134" s="699"/>
      <c r="Q134" s="699"/>
      <c r="R134" s="699"/>
      <c r="S134" s="699"/>
      <c r="T134" s="707"/>
    </row>
    <row r="135" spans="1:20" hidden="1">
      <c r="A135" s="686" t="s">
        <v>277</v>
      </c>
      <c r="B135" s="690" t="s">
        <v>680</v>
      </c>
      <c r="C135" s="687"/>
      <c r="D135" s="688">
        <f>'[2]总投资-发采购-0411-GLP拆分场外费用(司调)'!G151</f>
        <v>286.48703999999998</v>
      </c>
      <c r="E135" s="693">
        <f t="shared" si="9"/>
        <v>40.293535864978899</v>
      </c>
      <c r="F135" s="689">
        <f t="shared" si="5"/>
        <v>40.293535864978899</v>
      </c>
      <c r="G135" s="689">
        <f t="shared" si="6"/>
        <v>286.48703999999998</v>
      </c>
      <c r="H135" s="606" t="s">
        <v>543</v>
      </c>
      <c r="I135" s="686"/>
      <c r="J135" s="686"/>
      <c r="K135" s="697" t="s">
        <v>544</v>
      </c>
      <c r="L135" s="686"/>
      <c r="M135" s="606"/>
      <c r="N135" s="686"/>
      <c r="O135" s="686"/>
      <c r="P135" s="699"/>
      <c r="Q135" s="699"/>
      <c r="R135" s="699"/>
      <c r="S135" s="699"/>
      <c r="T135" s="707"/>
    </row>
    <row r="136" spans="1:20" hidden="1">
      <c r="A136" s="686" t="s">
        <v>278</v>
      </c>
      <c r="B136" s="690" t="s">
        <v>681</v>
      </c>
      <c r="C136" s="687"/>
      <c r="D136" s="688">
        <f>'[2]总投资-发采购-0411-GLP拆分场外费用(司调)'!G152</f>
        <v>634.36415999999997</v>
      </c>
      <c r="E136" s="693">
        <f t="shared" si="9"/>
        <v>89.221400843881852</v>
      </c>
      <c r="F136" s="689">
        <f t="shared" si="5"/>
        <v>89.221400843881852</v>
      </c>
      <c r="G136" s="689">
        <f t="shared" ref="G136:G157" si="10">D136</f>
        <v>634.36415999999997</v>
      </c>
      <c r="H136" s="606" t="s">
        <v>543</v>
      </c>
      <c r="I136" s="686"/>
      <c r="J136" s="686"/>
      <c r="K136" s="697" t="s">
        <v>544</v>
      </c>
      <c r="L136" s="686"/>
      <c r="M136" s="606"/>
      <c r="N136" s="686"/>
      <c r="O136" s="686"/>
      <c r="P136" s="699"/>
      <c r="Q136" s="699"/>
      <c r="R136" s="699"/>
      <c r="S136" s="699"/>
      <c r="T136" s="707"/>
    </row>
    <row r="137" spans="1:20" hidden="1">
      <c r="A137" s="686" t="s">
        <v>279</v>
      </c>
      <c r="B137" s="690" t="s">
        <v>682</v>
      </c>
      <c r="C137" s="687"/>
      <c r="D137" s="688">
        <f>'[2]总投资-发采购-0411-GLP拆分场外费用(司调)'!G153</f>
        <v>174.807908541004</v>
      </c>
      <c r="E137" s="693">
        <f t="shared" si="9"/>
        <v>24.586203732911954</v>
      </c>
      <c r="F137" s="689">
        <f t="shared" si="5"/>
        <v>24.586203732911954</v>
      </c>
      <c r="G137" s="689">
        <f t="shared" si="10"/>
        <v>174.807908541004</v>
      </c>
      <c r="H137" s="606" t="s">
        <v>543</v>
      </c>
      <c r="I137" s="686"/>
      <c r="J137" s="686"/>
      <c r="K137" s="697" t="s">
        <v>544</v>
      </c>
      <c r="L137" s="686"/>
      <c r="M137" s="606"/>
      <c r="N137" s="686"/>
      <c r="O137" s="686"/>
      <c r="P137" s="699"/>
      <c r="Q137" s="699"/>
      <c r="R137" s="699"/>
      <c r="S137" s="699"/>
      <c r="T137" s="707"/>
    </row>
    <row r="138" spans="1:20" hidden="1">
      <c r="A138" s="686" t="s">
        <v>280</v>
      </c>
      <c r="B138" s="690" t="s">
        <v>683</v>
      </c>
      <c r="C138" s="687"/>
      <c r="D138" s="688">
        <f>'[2]总投资-发采购-0411-GLP拆分场外费用(司调)'!G154</f>
        <v>639.48</v>
      </c>
      <c r="E138" s="693">
        <f t="shared" si="9"/>
        <v>89.940928270042193</v>
      </c>
      <c r="F138" s="689">
        <f t="shared" si="5"/>
        <v>89.940928270042193</v>
      </c>
      <c r="G138" s="689">
        <f t="shared" si="10"/>
        <v>639.48</v>
      </c>
      <c r="H138" s="606" t="s">
        <v>543</v>
      </c>
      <c r="I138" s="686"/>
      <c r="J138" s="686"/>
      <c r="K138" s="697" t="s">
        <v>544</v>
      </c>
      <c r="L138" s="686"/>
      <c r="M138" s="606"/>
      <c r="N138" s="686"/>
      <c r="O138" s="686"/>
      <c r="P138" s="699"/>
      <c r="Q138" s="699"/>
      <c r="R138" s="699"/>
      <c r="S138" s="699"/>
      <c r="T138" s="707"/>
    </row>
    <row r="139" spans="1:20" hidden="1">
      <c r="A139" s="686"/>
      <c r="B139" s="690" t="s">
        <v>684</v>
      </c>
      <c r="C139" s="687"/>
      <c r="D139" s="688">
        <f>'[2]总投资-发采购-0411-GLP拆分场外费用(司调)'!G155</f>
        <v>935.35919337286396</v>
      </c>
      <c r="E139" s="693">
        <f t="shared" si="9"/>
        <v>131.55544210588803</v>
      </c>
      <c r="F139" s="689">
        <f t="shared" si="5"/>
        <v>131.55544210588803</v>
      </c>
      <c r="G139" s="689">
        <f t="shared" si="10"/>
        <v>935.35919337286396</v>
      </c>
      <c r="H139" s="606" t="s">
        <v>543</v>
      </c>
      <c r="I139" s="686"/>
      <c r="J139" s="686"/>
      <c r="K139" s="697" t="s">
        <v>544</v>
      </c>
      <c r="L139" s="686"/>
      <c r="M139" s="606"/>
      <c r="N139" s="686"/>
      <c r="O139" s="686"/>
      <c r="P139" s="699"/>
      <c r="Q139" s="699"/>
      <c r="R139" s="699"/>
      <c r="S139" s="699"/>
      <c r="T139" s="707"/>
    </row>
    <row r="140" spans="1:20" hidden="1">
      <c r="A140" s="686" t="s">
        <v>281</v>
      </c>
      <c r="B140" s="690" t="s">
        <v>685</v>
      </c>
      <c r="C140" s="687"/>
      <c r="D140" s="688">
        <f>'[2]总投资-发采购-0411-GLP拆分场外费用(司调)'!G156</f>
        <v>72</v>
      </c>
      <c r="E140" s="693">
        <f t="shared" si="9"/>
        <v>10.126582278481012</v>
      </c>
      <c r="F140" s="689">
        <f t="shared" si="5"/>
        <v>10.126582278481012</v>
      </c>
      <c r="G140" s="689">
        <f t="shared" si="10"/>
        <v>72</v>
      </c>
      <c r="H140" s="606" t="s">
        <v>543</v>
      </c>
      <c r="I140" s="686"/>
      <c r="J140" s="686"/>
      <c r="K140" s="697" t="s">
        <v>544</v>
      </c>
      <c r="L140" s="686"/>
      <c r="M140" s="606"/>
      <c r="N140" s="686"/>
      <c r="O140" s="686"/>
      <c r="P140" s="699"/>
      <c r="Q140" s="699"/>
      <c r="R140" s="699"/>
      <c r="S140" s="699"/>
      <c r="T140" s="707"/>
    </row>
    <row r="141" spans="1:20" hidden="1">
      <c r="A141" s="686"/>
      <c r="B141" s="690" t="s">
        <v>686</v>
      </c>
      <c r="C141" s="687"/>
      <c r="D141" s="688">
        <f>'[2]总投资-发采购-0411-GLP拆分场外费用(司调)'!G157</f>
        <v>1</v>
      </c>
      <c r="E141" s="693">
        <f t="shared" si="9"/>
        <v>0.14064697609001406</v>
      </c>
      <c r="F141" s="689">
        <f t="shared" si="5"/>
        <v>0.14064697609001406</v>
      </c>
      <c r="G141" s="689">
        <f t="shared" si="10"/>
        <v>1</v>
      </c>
      <c r="H141" s="606" t="s">
        <v>543</v>
      </c>
      <c r="I141" s="686"/>
      <c r="J141" s="686"/>
      <c r="K141" s="697" t="s">
        <v>544</v>
      </c>
      <c r="L141" s="686"/>
      <c r="M141" s="606"/>
      <c r="N141" s="686"/>
      <c r="O141" s="686"/>
      <c r="P141" s="699"/>
      <c r="Q141" s="699"/>
      <c r="R141" s="699"/>
      <c r="S141" s="699"/>
      <c r="T141" s="707"/>
    </row>
    <row r="142" spans="1:20" hidden="1">
      <c r="A142" s="686"/>
      <c r="B142" s="690" t="s">
        <v>687</v>
      </c>
      <c r="C142" s="687"/>
      <c r="D142" s="688">
        <f>'[2]总投资-发采购-0411-GLP拆分场外费用(司调)'!G158</f>
        <v>13</v>
      </c>
      <c r="E142" s="693">
        <f t="shared" si="9"/>
        <v>1.8284106891701828</v>
      </c>
      <c r="F142" s="689">
        <f t="shared" si="5"/>
        <v>1.8284106891701828</v>
      </c>
      <c r="G142" s="689">
        <f t="shared" si="10"/>
        <v>13</v>
      </c>
      <c r="H142" s="606" t="s">
        <v>543</v>
      </c>
      <c r="I142" s="686"/>
      <c r="J142" s="686"/>
      <c r="K142" s="697" t="s">
        <v>544</v>
      </c>
      <c r="L142" s="686"/>
      <c r="M142" s="606"/>
      <c r="N142" s="686"/>
      <c r="O142" s="686"/>
      <c r="P142" s="699"/>
      <c r="Q142" s="699"/>
      <c r="R142" s="699"/>
      <c r="S142" s="699"/>
      <c r="T142" s="707"/>
    </row>
    <row r="143" spans="1:20" hidden="1">
      <c r="A143" s="686"/>
      <c r="B143" s="690" t="s">
        <v>688</v>
      </c>
      <c r="C143" s="687"/>
      <c r="D143" s="688">
        <f>'[2]总投资-发采购-0411-GLP拆分场外费用(司调)'!G159</f>
        <v>58</v>
      </c>
      <c r="E143" s="693">
        <f t="shared" si="9"/>
        <v>8.157524613220815</v>
      </c>
      <c r="F143" s="689">
        <f t="shared" si="5"/>
        <v>8.157524613220815</v>
      </c>
      <c r="G143" s="689">
        <f t="shared" si="10"/>
        <v>58</v>
      </c>
      <c r="H143" s="606" t="s">
        <v>543</v>
      </c>
      <c r="I143" s="686"/>
      <c r="J143" s="686"/>
      <c r="K143" s="697" t="s">
        <v>544</v>
      </c>
      <c r="L143" s="686"/>
      <c r="M143" s="606"/>
      <c r="N143" s="686"/>
      <c r="O143" s="686"/>
      <c r="P143" s="699"/>
      <c r="Q143" s="699"/>
      <c r="R143" s="699"/>
      <c r="S143" s="699"/>
      <c r="T143" s="707"/>
    </row>
    <row r="144" spans="1:20" hidden="1">
      <c r="A144" s="686">
        <v>2.14</v>
      </c>
      <c r="B144" s="690" t="s">
        <v>722</v>
      </c>
      <c r="C144" s="687"/>
      <c r="D144" s="688">
        <f>'[2]总投资-发采购-0411-GLP拆分场外费用(司调)'!G160</f>
        <v>17183.3026631424</v>
      </c>
      <c r="E144" s="693">
        <f t="shared" si="9"/>
        <v>2416.7795588104641</v>
      </c>
      <c r="F144" s="689">
        <f t="shared" ref="F144:F207" si="11">E144</f>
        <v>2416.7795588104641</v>
      </c>
      <c r="G144" s="689">
        <f t="shared" si="10"/>
        <v>17183.3026631424</v>
      </c>
      <c r="H144" s="606" t="s">
        <v>543</v>
      </c>
      <c r="I144" s="686"/>
      <c r="J144" s="686"/>
      <c r="K144" s="697" t="s">
        <v>544</v>
      </c>
      <c r="L144" s="686"/>
      <c r="M144" s="606"/>
      <c r="N144" s="686"/>
      <c r="O144" s="686"/>
      <c r="P144" s="699"/>
      <c r="Q144" s="699"/>
      <c r="R144" s="699"/>
      <c r="S144" s="699"/>
      <c r="T144" s="707"/>
    </row>
    <row r="145" spans="1:20" hidden="1">
      <c r="A145" s="686" t="s">
        <v>283</v>
      </c>
      <c r="B145" s="690" t="s">
        <v>677</v>
      </c>
      <c r="C145" s="687"/>
      <c r="D145" s="688">
        <f>'[2]总投资-发采购-0411-GLP拆分场外费用(司调)'!G161</f>
        <v>13708.4401640299</v>
      </c>
      <c r="E145" s="693">
        <f t="shared" si="9"/>
        <v>1928.0506559817018</v>
      </c>
      <c r="F145" s="689">
        <f t="shared" si="11"/>
        <v>1928.0506559817018</v>
      </c>
      <c r="G145" s="689">
        <f t="shared" si="10"/>
        <v>13708.4401640299</v>
      </c>
      <c r="H145" s="606" t="s">
        <v>543</v>
      </c>
      <c r="I145" s="686"/>
      <c r="J145" s="686"/>
      <c r="K145" s="697" t="s">
        <v>544</v>
      </c>
      <c r="L145" s="686"/>
      <c r="M145" s="606"/>
      <c r="N145" s="686"/>
      <c r="O145" s="686"/>
      <c r="P145" s="699"/>
      <c r="Q145" s="699"/>
      <c r="R145" s="699"/>
      <c r="S145" s="699"/>
      <c r="T145" s="707"/>
    </row>
    <row r="146" spans="1:20" hidden="1">
      <c r="A146" s="686" t="s">
        <v>284</v>
      </c>
      <c r="B146" s="690" t="s">
        <v>678</v>
      </c>
      <c r="C146" s="687"/>
      <c r="D146" s="688">
        <f>'[2]总投资-发采购-0411-GLP拆分场外费用(司调)'!G162</f>
        <v>46.271999999999998</v>
      </c>
      <c r="E146" s="693">
        <f t="shared" si="9"/>
        <v>6.5080168776371305</v>
      </c>
      <c r="F146" s="689">
        <f t="shared" si="11"/>
        <v>6.5080168776371305</v>
      </c>
      <c r="G146" s="689">
        <f t="shared" si="10"/>
        <v>46.271999999999998</v>
      </c>
      <c r="H146" s="606" t="s">
        <v>543</v>
      </c>
      <c r="I146" s="686"/>
      <c r="J146" s="686"/>
      <c r="K146" s="697" t="s">
        <v>544</v>
      </c>
      <c r="L146" s="686"/>
      <c r="M146" s="606"/>
      <c r="N146" s="686"/>
      <c r="O146" s="686"/>
      <c r="P146" s="699"/>
      <c r="Q146" s="699"/>
      <c r="R146" s="699"/>
      <c r="S146" s="699"/>
      <c r="T146" s="707"/>
    </row>
    <row r="147" spans="1:20" hidden="1">
      <c r="A147" s="686" t="s">
        <v>285</v>
      </c>
      <c r="B147" s="690" t="s">
        <v>679</v>
      </c>
      <c r="C147" s="687"/>
      <c r="D147" s="688">
        <f>'[2]总投资-发采购-0411-GLP拆分场外费用(司调)'!G163</f>
        <v>416.44799999999998</v>
      </c>
      <c r="E147" s="693">
        <f t="shared" si="9"/>
        <v>58.57215189873417</v>
      </c>
      <c r="F147" s="689">
        <f t="shared" si="11"/>
        <v>58.57215189873417</v>
      </c>
      <c r="G147" s="689">
        <f t="shared" si="10"/>
        <v>416.44799999999998</v>
      </c>
      <c r="H147" s="606" t="s">
        <v>543</v>
      </c>
      <c r="I147" s="686"/>
      <c r="J147" s="686"/>
      <c r="K147" s="697" t="s">
        <v>544</v>
      </c>
      <c r="L147" s="686"/>
      <c r="M147" s="606"/>
      <c r="N147" s="686"/>
      <c r="O147" s="686"/>
      <c r="P147" s="699"/>
      <c r="Q147" s="699"/>
      <c r="R147" s="699"/>
      <c r="S147" s="699"/>
      <c r="T147" s="707"/>
    </row>
    <row r="148" spans="1:20" hidden="1">
      <c r="A148" s="686" t="s">
        <v>286</v>
      </c>
      <c r="B148" s="690" t="s">
        <v>680</v>
      </c>
      <c r="C148" s="687"/>
      <c r="D148" s="688">
        <f>'[2]总投资-发采购-0411-GLP拆分场外费用(司调)'!G164</f>
        <v>323.904</v>
      </c>
      <c r="E148" s="693">
        <f t="shared" si="9"/>
        <v>45.556118143459912</v>
      </c>
      <c r="F148" s="689">
        <f t="shared" si="11"/>
        <v>45.556118143459912</v>
      </c>
      <c r="G148" s="689">
        <f t="shared" si="10"/>
        <v>323.904</v>
      </c>
      <c r="H148" s="606" t="s">
        <v>543</v>
      </c>
      <c r="I148" s="686"/>
      <c r="J148" s="686"/>
      <c r="K148" s="697" t="s">
        <v>544</v>
      </c>
      <c r="L148" s="686"/>
      <c r="M148" s="606"/>
      <c r="N148" s="686"/>
      <c r="O148" s="686"/>
      <c r="P148" s="699"/>
      <c r="Q148" s="699"/>
      <c r="R148" s="699"/>
      <c r="S148" s="699"/>
      <c r="T148" s="707"/>
    </row>
    <row r="149" spans="1:20" hidden="1">
      <c r="A149" s="686" t="s">
        <v>287</v>
      </c>
      <c r="B149" s="690" t="s">
        <v>681</v>
      </c>
      <c r="C149" s="687"/>
      <c r="D149" s="688">
        <f>'[2]总投资-发采购-0411-GLP拆分场外费用(司调)'!G165</f>
        <v>717.21600000000001</v>
      </c>
      <c r="E149" s="693">
        <f t="shared" si="9"/>
        <v>100.87426160337553</v>
      </c>
      <c r="F149" s="689">
        <f t="shared" si="11"/>
        <v>100.87426160337553</v>
      </c>
      <c r="G149" s="689">
        <f t="shared" si="10"/>
        <v>717.21600000000001</v>
      </c>
      <c r="H149" s="606" t="s">
        <v>543</v>
      </c>
      <c r="I149" s="686"/>
      <c r="J149" s="686"/>
      <c r="K149" s="697" t="s">
        <v>544</v>
      </c>
      <c r="L149" s="686"/>
      <c r="M149" s="606"/>
      <c r="N149" s="686"/>
      <c r="O149" s="686"/>
      <c r="P149" s="699"/>
      <c r="Q149" s="699"/>
      <c r="R149" s="699"/>
      <c r="S149" s="699"/>
      <c r="T149" s="707"/>
    </row>
    <row r="150" spans="1:20" hidden="1">
      <c r="A150" s="686" t="s">
        <v>288</v>
      </c>
      <c r="B150" s="690" t="s">
        <v>682</v>
      </c>
      <c r="C150" s="687"/>
      <c r="D150" s="688">
        <f>'[2]总投资-发采购-0411-GLP拆分场外费用(司调)'!G166</f>
        <v>197.63889077867299</v>
      </c>
      <c r="E150" s="693">
        <f t="shared" si="9"/>
        <v>27.797312345804919</v>
      </c>
      <c r="F150" s="689">
        <f t="shared" si="11"/>
        <v>27.797312345804919</v>
      </c>
      <c r="G150" s="689">
        <f t="shared" si="10"/>
        <v>197.63889077867299</v>
      </c>
      <c r="H150" s="606" t="s">
        <v>543</v>
      </c>
      <c r="I150" s="686"/>
      <c r="J150" s="686"/>
      <c r="K150" s="697" t="s">
        <v>544</v>
      </c>
      <c r="L150" s="686"/>
      <c r="M150" s="606"/>
      <c r="N150" s="686"/>
      <c r="O150" s="686"/>
      <c r="P150" s="699"/>
      <c r="Q150" s="699"/>
      <c r="R150" s="699"/>
      <c r="S150" s="699"/>
      <c r="T150" s="707"/>
    </row>
    <row r="151" spans="1:20" hidden="1">
      <c r="A151" s="686" t="s">
        <v>289</v>
      </c>
      <c r="B151" s="690" t="s">
        <v>683</v>
      </c>
      <c r="C151" s="687"/>
      <c r="D151" s="688">
        <f>'[2]总投资-发采购-0411-GLP拆分场外费用(司调)'!G167</f>
        <v>723</v>
      </c>
      <c r="E151" s="693">
        <f t="shared" si="9"/>
        <v>101.68776371308016</v>
      </c>
      <c r="F151" s="689">
        <f t="shared" si="11"/>
        <v>101.68776371308016</v>
      </c>
      <c r="G151" s="689">
        <f t="shared" si="10"/>
        <v>723</v>
      </c>
      <c r="H151" s="606" t="s">
        <v>543</v>
      </c>
      <c r="I151" s="686"/>
      <c r="J151" s="686"/>
      <c r="K151" s="697" t="s">
        <v>544</v>
      </c>
      <c r="L151" s="686"/>
      <c r="M151" s="606"/>
      <c r="N151" s="686"/>
      <c r="O151" s="686"/>
      <c r="P151" s="699"/>
      <c r="Q151" s="699"/>
      <c r="R151" s="699"/>
      <c r="S151" s="699"/>
      <c r="T151" s="707"/>
    </row>
    <row r="152" spans="1:20" hidden="1">
      <c r="A152" s="686"/>
      <c r="B152" s="690" t="s">
        <v>684</v>
      </c>
      <c r="C152" s="687"/>
      <c r="D152" s="688">
        <f>'[2]总投资-发采购-0411-GLP拆分场外费用(司调)'!G168</f>
        <v>972.38360833383695</v>
      </c>
      <c r="E152" s="693">
        <f t="shared" si="9"/>
        <v>136.76281411165075</v>
      </c>
      <c r="F152" s="689">
        <f t="shared" si="11"/>
        <v>136.76281411165075</v>
      </c>
      <c r="G152" s="689">
        <f t="shared" si="10"/>
        <v>972.38360833383695</v>
      </c>
      <c r="H152" s="606" t="s">
        <v>543</v>
      </c>
      <c r="I152" s="686"/>
      <c r="J152" s="686"/>
      <c r="K152" s="697" t="s">
        <v>544</v>
      </c>
      <c r="L152" s="686"/>
      <c r="M152" s="606"/>
      <c r="N152" s="686"/>
      <c r="O152" s="686"/>
      <c r="P152" s="699"/>
      <c r="Q152" s="699"/>
      <c r="R152" s="699"/>
      <c r="S152" s="699"/>
      <c r="T152" s="707"/>
    </row>
    <row r="153" spans="1:20" hidden="1">
      <c r="A153" s="686" t="s">
        <v>290</v>
      </c>
      <c r="B153" s="690" t="s">
        <v>685</v>
      </c>
      <c r="C153" s="687"/>
      <c r="D153" s="688">
        <f>'[2]总投资-发采购-0411-GLP拆分场外费用(司调)'!G169</f>
        <v>78</v>
      </c>
      <c r="E153" s="693">
        <f t="shared" si="9"/>
        <v>10.970464135021096</v>
      </c>
      <c r="F153" s="689">
        <f t="shared" si="11"/>
        <v>10.970464135021096</v>
      </c>
      <c r="G153" s="689">
        <f t="shared" si="10"/>
        <v>78</v>
      </c>
      <c r="H153" s="606" t="s">
        <v>543</v>
      </c>
      <c r="I153" s="686"/>
      <c r="J153" s="686"/>
      <c r="K153" s="697" t="s">
        <v>544</v>
      </c>
      <c r="L153" s="686"/>
      <c r="M153" s="606"/>
      <c r="N153" s="686"/>
      <c r="O153" s="686"/>
      <c r="P153" s="699"/>
      <c r="Q153" s="699"/>
      <c r="R153" s="699"/>
      <c r="S153" s="699"/>
      <c r="T153" s="707"/>
    </row>
    <row r="154" spans="1:20" hidden="1">
      <c r="A154" s="686"/>
      <c r="B154" s="690" t="s">
        <v>686</v>
      </c>
      <c r="C154" s="687"/>
      <c r="D154" s="688">
        <f>'[2]总投资-发采购-0411-GLP拆分场外费用(司调)'!G170</f>
        <v>1</v>
      </c>
      <c r="E154" s="693">
        <f t="shared" si="9"/>
        <v>0.14064697609001406</v>
      </c>
      <c r="F154" s="689">
        <f t="shared" si="11"/>
        <v>0.14064697609001406</v>
      </c>
      <c r="G154" s="689">
        <f t="shared" si="10"/>
        <v>1</v>
      </c>
      <c r="H154" s="606" t="s">
        <v>543</v>
      </c>
      <c r="I154" s="686"/>
      <c r="J154" s="686"/>
      <c r="K154" s="697" t="s">
        <v>544</v>
      </c>
      <c r="L154" s="686"/>
      <c r="M154" s="606"/>
      <c r="N154" s="686"/>
      <c r="O154" s="686"/>
      <c r="P154" s="699"/>
      <c r="Q154" s="699"/>
      <c r="R154" s="699"/>
      <c r="S154" s="699"/>
      <c r="T154" s="707"/>
    </row>
    <row r="155" spans="1:20" hidden="1">
      <c r="A155" s="686"/>
      <c r="B155" s="690" t="s">
        <v>687</v>
      </c>
      <c r="C155" s="687"/>
      <c r="D155" s="688">
        <f>'[2]总投资-发采购-0411-GLP拆分场外费用(司调)'!G171</f>
        <v>14</v>
      </c>
      <c r="E155" s="693">
        <f t="shared" si="9"/>
        <v>1.9690576652601968</v>
      </c>
      <c r="F155" s="689">
        <f t="shared" si="11"/>
        <v>1.9690576652601968</v>
      </c>
      <c r="G155" s="689">
        <f t="shared" si="10"/>
        <v>14</v>
      </c>
      <c r="H155" s="606" t="s">
        <v>543</v>
      </c>
      <c r="I155" s="686"/>
      <c r="J155" s="686"/>
      <c r="K155" s="697" t="s">
        <v>544</v>
      </c>
      <c r="L155" s="686"/>
      <c r="M155" s="606"/>
      <c r="N155" s="686"/>
      <c r="O155" s="686"/>
      <c r="P155" s="699"/>
      <c r="Q155" s="699"/>
      <c r="R155" s="699"/>
      <c r="S155" s="699"/>
      <c r="T155" s="707"/>
    </row>
    <row r="156" spans="1:20" hidden="1">
      <c r="A156" s="686"/>
      <c r="B156" s="690" t="s">
        <v>688</v>
      </c>
      <c r="C156" s="687"/>
      <c r="D156" s="688">
        <f>'[2]总投资-发采购-0411-GLP拆分场外费用(司调)'!G172</f>
        <v>63</v>
      </c>
      <c r="E156" s="693">
        <f t="shared" si="9"/>
        <v>8.8607594936708853</v>
      </c>
      <c r="F156" s="689">
        <f t="shared" si="11"/>
        <v>8.8607594936708853</v>
      </c>
      <c r="G156" s="689">
        <f t="shared" si="10"/>
        <v>63</v>
      </c>
      <c r="H156" s="606" t="s">
        <v>543</v>
      </c>
      <c r="I156" s="686"/>
      <c r="J156" s="686"/>
      <c r="K156" s="697" t="s">
        <v>544</v>
      </c>
      <c r="L156" s="686"/>
      <c r="M156" s="606"/>
      <c r="N156" s="686"/>
      <c r="O156" s="686"/>
      <c r="P156" s="699"/>
      <c r="Q156" s="699"/>
      <c r="R156" s="699"/>
      <c r="S156" s="699"/>
      <c r="T156" s="707"/>
    </row>
    <row r="157" spans="1:20">
      <c r="A157" s="606" t="s">
        <v>41</v>
      </c>
      <c r="B157" s="683" t="s">
        <v>638</v>
      </c>
      <c r="C157" s="683" t="s">
        <v>639</v>
      </c>
      <c r="D157" s="684">
        <f>SUM('[2]总投资-发采购-0411-GLP拆分场外费用(司调)'!G30,'[2]总投资-发采购-0411-GLP拆分场外费用(司调)'!G43,'[2]总投资-发采购-0411-GLP拆分场外费用(司调)'!G56,'[2]总投资-发采购-0411-GLP拆分场外费用(司调)'!G69)</f>
        <v>23398.367016560886</v>
      </c>
      <c r="E157" s="695">
        <f t="shared" si="9"/>
        <v>3290.9095663236126</v>
      </c>
      <c r="F157" s="685">
        <f t="shared" si="11"/>
        <v>3290.9095663236126</v>
      </c>
      <c r="G157" s="685">
        <f t="shared" si="10"/>
        <v>23398.367016560886</v>
      </c>
      <c r="H157" s="606" t="s">
        <v>543</v>
      </c>
      <c r="I157" s="606" t="s">
        <v>30</v>
      </c>
      <c r="J157" s="606">
        <v>18</v>
      </c>
      <c r="K157" s="697" t="s">
        <v>31</v>
      </c>
      <c r="L157" s="606" t="s">
        <v>135</v>
      </c>
      <c r="M157" s="606"/>
      <c r="N157" s="606"/>
      <c r="O157" s="606"/>
      <c r="P157" s="698" t="s">
        <v>293</v>
      </c>
      <c r="Q157" s="698" t="s">
        <v>294</v>
      </c>
      <c r="R157" s="698" t="s">
        <v>339</v>
      </c>
      <c r="S157" s="698" t="s">
        <v>296</v>
      </c>
      <c r="T157" s="697"/>
    </row>
    <row r="158" spans="1:20" hidden="1">
      <c r="A158" s="686">
        <v>2.4</v>
      </c>
      <c r="B158" s="690" t="s">
        <v>724</v>
      </c>
      <c r="C158" s="687"/>
      <c r="D158" s="688">
        <f>'[2]总投资-发采购-0411-GLP拆分场外费用(司调)'!G30</f>
        <v>5921.3918794486299</v>
      </c>
      <c r="E158" s="693">
        <f t="shared" si="9"/>
        <v>832.82586208841485</v>
      </c>
      <c r="F158" s="689">
        <f t="shared" si="11"/>
        <v>832.82586208841485</v>
      </c>
      <c r="G158" s="689">
        <f t="shared" ref="G158:G211" si="12">D158</f>
        <v>5921.3918794486299</v>
      </c>
      <c r="H158" s="606" t="s">
        <v>543</v>
      </c>
      <c r="I158" s="606"/>
      <c r="J158" s="606"/>
      <c r="K158" s="697" t="s">
        <v>544</v>
      </c>
      <c r="L158" s="606"/>
      <c r="M158" s="606"/>
      <c r="N158" s="606"/>
      <c r="O158" s="606"/>
      <c r="P158" s="698"/>
      <c r="Q158" s="698"/>
      <c r="R158" s="698"/>
      <c r="S158" s="698"/>
      <c r="T158" s="697"/>
    </row>
    <row r="159" spans="1:20" hidden="1">
      <c r="A159" s="686" t="s">
        <v>298</v>
      </c>
      <c r="B159" s="690" t="s">
        <v>677</v>
      </c>
      <c r="C159" s="687"/>
      <c r="D159" s="688">
        <f>'[2]总投资-发采购-0411-GLP拆分场外费用(司调)'!G31</f>
        <v>3574</v>
      </c>
      <c r="E159" s="693">
        <f t="shared" si="9"/>
        <v>502.67229254571026</v>
      </c>
      <c r="F159" s="689">
        <f t="shared" si="11"/>
        <v>502.67229254571026</v>
      </c>
      <c r="G159" s="689">
        <f t="shared" si="12"/>
        <v>3574</v>
      </c>
      <c r="H159" s="606" t="s">
        <v>543</v>
      </c>
      <c r="I159" s="606"/>
      <c r="J159" s="606"/>
      <c r="K159" s="697" t="s">
        <v>544</v>
      </c>
      <c r="L159" s="606"/>
      <c r="M159" s="606"/>
      <c r="N159" s="606"/>
      <c r="O159" s="606"/>
      <c r="P159" s="698"/>
      <c r="Q159" s="698"/>
      <c r="R159" s="698"/>
      <c r="S159" s="698"/>
      <c r="T159" s="697"/>
    </row>
    <row r="160" spans="1:20" hidden="1">
      <c r="A160" s="686" t="s">
        <v>299</v>
      </c>
      <c r="B160" s="690" t="s">
        <v>678</v>
      </c>
      <c r="C160" s="687"/>
      <c r="D160" s="688">
        <f>'[2]总投资-发采购-0411-GLP拆分场外费用(司调)'!G32</f>
        <v>18.29888</v>
      </c>
      <c r="E160" s="693">
        <f t="shared" si="9"/>
        <v>2.5736821378340364</v>
      </c>
      <c r="F160" s="689">
        <f t="shared" si="11"/>
        <v>2.5736821378340364</v>
      </c>
      <c r="G160" s="689">
        <f t="shared" si="12"/>
        <v>18.29888</v>
      </c>
      <c r="H160" s="606" t="s">
        <v>543</v>
      </c>
      <c r="I160" s="606"/>
      <c r="J160" s="606"/>
      <c r="K160" s="697" t="s">
        <v>544</v>
      </c>
      <c r="L160" s="606"/>
      <c r="M160" s="606"/>
      <c r="N160" s="606"/>
      <c r="O160" s="606"/>
      <c r="P160" s="698"/>
      <c r="Q160" s="698"/>
      <c r="R160" s="698"/>
      <c r="S160" s="698"/>
      <c r="T160" s="697"/>
    </row>
    <row r="161" spans="1:20" hidden="1">
      <c r="A161" s="686" t="s">
        <v>300</v>
      </c>
      <c r="B161" s="690" t="s">
        <v>679</v>
      </c>
      <c r="C161" s="687"/>
      <c r="D161" s="688">
        <f>'[2]总投资-发采购-0411-GLP拆分场外费用(司调)'!G33</f>
        <v>164.68992</v>
      </c>
      <c r="E161" s="693">
        <f t="shared" si="9"/>
        <v>23.163139240506329</v>
      </c>
      <c r="F161" s="689">
        <f t="shared" si="11"/>
        <v>23.163139240506329</v>
      </c>
      <c r="G161" s="689">
        <f t="shared" si="12"/>
        <v>164.68992</v>
      </c>
      <c r="H161" s="606" t="s">
        <v>543</v>
      </c>
      <c r="I161" s="606"/>
      <c r="J161" s="606"/>
      <c r="K161" s="697" t="s">
        <v>544</v>
      </c>
      <c r="L161" s="606"/>
      <c r="M161" s="606"/>
      <c r="N161" s="606"/>
      <c r="O161" s="606"/>
      <c r="P161" s="698"/>
      <c r="Q161" s="698"/>
      <c r="R161" s="698"/>
      <c r="S161" s="698"/>
      <c r="T161" s="697"/>
    </row>
    <row r="162" spans="1:20" hidden="1">
      <c r="A162" s="686" t="s">
        <v>301</v>
      </c>
      <c r="B162" s="690" t="s">
        <v>680</v>
      </c>
      <c r="C162" s="687"/>
      <c r="D162" s="688">
        <f>'[2]总投资-发采购-0411-GLP拆分场外费用(司调)'!G34</f>
        <v>128.09216000000001</v>
      </c>
      <c r="E162" s="693">
        <f t="shared" si="9"/>
        <v>18.015774964838258</v>
      </c>
      <c r="F162" s="689">
        <f t="shared" si="11"/>
        <v>18.015774964838258</v>
      </c>
      <c r="G162" s="689">
        <f t="shared" si="12"/>
        <v>128.09216000000001</v>
      </c>
      <c r="H162" s="606" t="s">
        <v>543</v>
      </c>
      <c r="I162" s="606"/>
      <c r="J162" s="606"/>
      <c r="K162" s="697" t="s">
        <v>544</v>
      </c>
      <c r="L162" s="606"/>
      <c r="M162" s="606"/>
      <c r="N162" s="606"/>
      <c r="O162" s="606"/>
      <c r="P162" s="698"/>
      <c r="Q162" s="698"/>
      <c r="R162" s="698"/>
      <c r="S162" s="698"/>
      <c r="T162" s="697"/>
    </row>
    <row r="163" spans="1:20" hidden="1">
      <c r="A163" s="686" t="s">
        <v>302</v>
      </c>
      <c r="B163" s="690" t="s">
        <v>681</v>
      </c>
      <c r="C163" s="687"/>
      <c r="D163" s="688">
        <f>'[2]总投资-发采购-0411-GLP拆分场外费用(司调)'!G35</f>
        <v>283.63263999999998</v>
      </c>
      <c r="E163" s="693">
        <f t="shared" si="9"/>
        <v>39.892073136427562</v>
      </c>
      <c r="F163" s="689">
        <f t="shared" si="11"/>
        <v>39.892073136427562</v>
      </c>
      <c r="G163" s="689">
        <f t="shared" si="12"/>
        <v>283.63263999999998</v>
      </c>
      <c r="H163" s="606" t="s">
        <v>543</v>
      </c>
      <c r="I163" s="606"/>
      <c r="J163" s="606"/>
      <c r="K163" s="697" t="s">
        <v>544</v>
      </c>
      <c r="L163" s="606"/>
      <c r="M163" s="606"/>
      <c r="N163" s="606"/>
      <c r="O163" s="606"/>
      <c r="P163" s="698"/>
      <c r="Q163" s="698"/>
      <c r="R163" s="698"/>
      <c r="S163" s="698"/>
      <c r="T163" s="697"/>
    </row>
    <row r="164" spans="1:20" hidden="1">
      <c r="A164" s="686" t="s">
        <v>303</v>
      </c>
      <c r="B164" s="690" t="s">
        <v>682</v>
      </c>
      <c r="C164" s="687"/>
      <c r="D164" s="688">
        <f>'[2]总投资-发采购-0411-GLP拆分场外费用(司调)'!G36</f>
        <v>78.158937277231303</v>
      </c>
      <c r="E164" s="693">
        <f t="shared" si="9"/>
        <v>10.992818182451659</v>
      </c>
      <c r="F164" s="689">
        <f t="shared" si="11"/>
        <v>10.992818182451659</v>
      </c>
      <c r="G164" s="689">
        <f t="shared" si="12"/>
        <v>78.158937277231303</v>
      </c>
      <c r="H164" s="606" t="s">
        <v>543</v>
      </c>
      <c r="I164" s="606"/>
      <c r="J164" s="606"/>
      <c r="K164" s="697" t="s">
        <v>544</v>
      </c>
      <c r="L164" s="606"/>
      <c r="M164" s="606"/>
      <c r="N164" s="606"/>
      <c r="O164" s="606"/>
      <c r="P164" s="698"/>
      <c r="Q164" s="698"/>
      <c r="R164" s="698"/>
      <c r="S164" s="698"/>
      <c r="T164" s="697"/>
    </row>
    <row r="165" spans="1:20" hidden="1">
      <c r="A165" s="686" t="s">
        <v>304</v>
      </c>
      <c r="B165" s="690" t="s">
        <v>683</v>
      </c>
      <c r="C165" s="687"/>
      <c r="D165" s="688">
        <f>'[2]总投资-发采购-0411-GLP拆分场外费用(司调)'!G37</f>
        <v>571.84</v>
      </c>
      <c r="E165" s="693">
        <f t="shared" si="9"/>
        <v>80.427566807313639</v>
      </c>
      <c r="F165" s="689">
        <f t="shared" si="11"/>
        <v>80.427566807313639</v>
      </c>
      <c r="G165" s="689">
        <f t="shared" si="12"/>
        <v>571.84</v>
      </c>
      <c r="H165" s="606" t="s">
        <v>543</v>
      </c>
      <c r="I165" s="606"/>
      <c r="J165" s="606"/>
      <c r="K165" s="697" t="s">
        <v>544</v>
      </c>
      <c r="L165" s="606"/>
      <c r="M165" s="606"/>
      <c r="N165" s="606"/>
      <c r="O165" s="606"/>
      <c r="P165" s="698"/>
      <c r="Q165" s="698"/>
      <c r="R165" s="698"/>
      <c r="S165" s="698"/>
      <c r="T165" s="697"/>
    </row>
    <row r="166" spans="1:20" hidden="1">
      <c r="A166" s="686"/>
      <c r="B166" s="690" t="s">
        <v>684</v>
      </c>
      <c r="C166" s="687"/>
      <c r="D166" s="688">
        <f>'[2]总投资-发采购-0411-GLP拆分场外费用(司调)'!G38</f>
        <v>1036.6793421714001</v>
      </c>
      <c r="E166" s="693">
        <f t="shared" si="9"/>
        <v>145.80581465139241</v>
      </c>
      <c r="F166" s="689">
        <f t="shared" si="11"/>
        <v>145.80581465139241</v>
      </c>
      <c r="G166" s="689">
        <f t="shared" si="12"/>
        <v>1036.6793421714001</v>
      </c>
      <c r="H166" s="606" t="s">
        <v>543</v>
      </c>
      <c r="I166" s="606"/>
      <c r="J166" s="606"/>
      <c r="K166" s="697" t="s">
        <v>544</v>
      </c>
      <c r="L166" s="606"/>
      <c r="M166" s="606"/>
      <c r="N166" s="606"/>
      <c r="O166" s="606"/>
      <c r="P166" s="698"/>
      <c r="Q166" s="698"/>
      <c r="R166" s="698"/>
      <c r="S166" s="698"/>
      <c r="T166" s="697"/>
    </row>
    <row r="167" spans="1:20" hidden="1">
      <c r="A167" s="686" t="s">
        <v>305</v>
      </c>
      <c r="B167" s="690" t="s">
        <v>685</v>
      </c>
      <c r="C167" s="687"/>
      <c r="D167" s="688">
        <f>'[2]总投资-发采购-0411-GLP拆分场外费用(司调)'!G39</f>
        <v>66</v>
      </c>
      <c r="E167" s="693">
        <f t="shared" si="9"/>
        <v>9.2827004219409286</v>
      </c>
      <c r="F167" s="689">
        <f t="shared" si="11"/>
        <v>9.2827004219409286</v>
      </c>
      <c r="G167" s="689">
        <f t="shared" si="12"/>
        <v>66</v>
      </c>
      <c r="H167" s="606" t="s">
        <v>543</v>
      </c>
      <c r="I167" s="606"/>
      <c r="J167" s="606"/>
      <c r="K167" s="697" t="s">
        <v>544</v>
      </c>
      <c r="L167" s="606"/>
      <c r="M167" s="606"/>
      <c r="N167" s="606"/>
      <c r="O167" s="606"/>
      <c r="P167" s="698"/>
      <c r="Q167" s="698"/>
      <c r="R167" s="698"/>
      <c r="S167" s="698"/>
      <c r="T167" s="697"/>
    </row>
    <row r="168" spans="1:20" hidden="1">
      <c r="A168" s="686"/>
      <c r="B168" s="690" t="s">
        <v>686</v>
      </c>
      <c r="C168" s="687"/>
      <c r="D168" s="688">
        <f>'[2]总投资-发采购-0411-GLP拆分场外费用(司调)'!G40</f>
        <v>2</v>
      </c>
      <c r="E168" s="693">
        <f t="shared" si="9"/>
        <v>0.28129395218002812</v>
      </c>
      <c r="F168" s="689">
        <f t="shared" si="11"/>
        <v>0.28129395218002812</v>
      </c>
      <c r="G168" s="689">
        <f t="shared" si="12"/>
        <v>2</v>
      </c>
      <c r="H168" s="606" t="s">
        <v>543</v>
      </c>
      <c r="I168" s="606"/>
      <c r="J168" s="606"/>
      <c r="K168" s="697" t="s">
        <v>544</v>
      </c>
      <c r="L168" s="606"/>
      <c r="M168" s="606"/>
      <c r="N168" s="606"/>
      <c r="O168" s="606"/>
      <c r="P168" s="698"/>
      <c r="Q168" s="698"/>
      <c r="R168" s="698"/>
      <c r="S168" s="698"/>
      <c r="T168" s="697"/>
    </row>
    <row r="169" spans="1:20" hidden="1">
      <c r="A169" s="686"/>
      <c r="B169" s="690" t="s">
        <v>687</v>
      </c>
      <c r="C169" s="687"/>
      <c r="D169" s="688">
        <f>'[2]总投资-发采购-0411-GLP拆分场外费用(司调)'!G41</f>
        <v>11</v>
      </c>
      <c r="E169" s="693">
        <f t="shared" si="9"/>
        <v>1.5471167369901546</v>
      </c>
      <c r="F169" s="689">
        <f t="shared" si="11"/>
        <v>1.5471167369901546</v>
      </c>
      <c r="G169" s="689">
        <f t="shared" si="12"/>
        <v>11</v>
      </c>
      <c r="H169" s="606" t="s">
        <v>543</v>
      </c>
      <c r="I169" s="606"/>
      <c r="J169" s="606"/>
      <c r="K169" s="697" t="s">
        <v>544</v>
      </c>
      <c r="L169" s="606"/>
      <c r="M169" s="606"/>
      <c r="N169" s="606"/>
      <c r="O169" s="606"/>
      <c r="P169" s="698"/>
      <c r="Q169" s="698"/>
      <c r="R169" s="698"/>
      <c r="S169" s="698"/>
      <c r="T169" s="697"/>
    </row>
    <row r="170" spans="1:20" hidden="1">
      <c r="A170" s="686"/>
      <c r="B170" s="690" t="s">
        <v>688</v>
      </c>
      <c r="C170" s="687"/>
      <c r="D170" s="688">
        <f>'[2]总投资-发采购-0411-GLP拆分场外费用(司调)'!G42</f>
        <v>53</v>
      </c>
      <c r="E170" s="693">
        <f t="shared" si="9"/>
        <v>7.4542897327707447</v>
      </c>
      <c r="F170" s="689">
        <f t="shared" si="11"/>
        <v>7.4542897327707447</v>
      </c>
      <c r="G170" s="689">
        <f t="shared" si="12"/>
        <v>53</v>
      </c>
      <c r="H170" s="606" t="s">
        <v>543</v>
      </c>
      <c r="I170" s="606"/>
      <c r="J170" s="606"/>
      <c r="K170" s="697" t="s">
        <v>544</v>
      </c>
      <c r="L170" s="606"/>
      <c r="M170" s="606"/>
      <c r="N170" s="606"/>
      <c r="O170" s="606"/>
      <c r="P170" s="698"/>
      <c r="Q170" s="698"/>
      <c r="R170" s="698"/>
      <c r="S170" s="698"/>
      <c r="T170" s="697"/>
    </row>
    <row r="171" spans="1:20" hidden="1">
      <c r="A171" s="686">
        <v>2.5</v>
      </c>
      <c r="B171" s="690" t="s">
        <v>725</v>
      </c>
      <c r="C171" s="687"/>
      <c r="D171" s="688">
        <f>'[2]总投资-发采购-0411-GLP拆分场外费用(司调)'!G43</f>
        <v>5952.1708779011697</v>
      </c>
      <c r="E171" s="693">
        <f t="shared" si="9"/>
        <v>837.15483514784376</v>
      </c>
      <c r="F171" s="689">
        <f t="shared" si="11"/>
        <v>837.15483514784376</v>
      </c>
      <c r="G171" s="689">
        <f t="shared" si="12"/>
        <v>5952.1708779011697</v>
      </c>
      <c r="H171" s="606" t="s">
        <v>543</v>
      </c>
      <c r="I171" s="606"/>
      <c r="J171" s="606"/>
      <c r="K171" s="697" t="s">
        <v>544</v>
      </c>
      <c r="L171" s="606"/>
      <c r="M171" s="606"/>
      <c r="N171" s="606"/>
      <c r="O171" s="606"/>
      <c r="P171" s="698"/>
      <c r="Q171" s="698"/>
      <c r="R171" s="698"/>
      <c r="S171" s="698"/>
      <c r="T171" s="697"/>
    </row>
    <row r="172" spans="1:20" hidden="1">
      <c r="A172" s="686" t="s">
        <v>307</v>
      </c>
      <c r="B172" s="690" t="s">
        <v>677</v>
      </c>
      <c r="C172" s="687"/>
      <c r="D172" s="688">
        <f>'[2]总投资-发采购-0411-GLP拆分场外费用(司调)'!G44</f>
        <v>3574</v>
      </c>
      <c r="E172" s="693">
        <f t="shared" si="9"/>
        <v>502.67229254571026</v>
      </c>
      <c r="F172" s="689">
        <f t="shared" si="11"/>
        <v>502.67229254571026</v>
      </c>
      <c r="G172" s="689">
        <f t="shared" si="12"/>
        <v>3574</v>
      </c>
      <c r="H172" s="606" t="s">
        <v>543</v>
      </c>
      <c r="I172" s="606"/>
      <c r="J172" s="606"/>
      <c r="K172" s="697" t="s">
        <v>544</v>
      </c>
      <c r="L172" s="606"/>
      <c r="M172" s="606"/>
      <c r="N172" s="606"/>
      <c r="O172" s="606"/>
      <c r="P172" s="698"/>
      <c r="Q172" s="698"/>
      <c r="R172" s="698"/>
      <c r="S172" s="698"/>
      <c r="T172" s="697"/>
    </row>
    <row r="173" spans="1:20" hidden="1">
      <c r="A173" s="686" t="s">
        <v>308</v>
      </c>
      <c r="B173" s="690" t="s">
        <v>678</v>
      </c>
      <c r="C173" s="687"/>
      <c r="D173" s="688">
        <f>'[2]总投资-发采购-0411-GLP拆分场外费用(司调)'!G45</f>
        <v>18.29888</v>
      </c>
      <c r="E173" s="693">
        <f t="shared" si="9"/>
        <v>2.5736821378340364</v>
      </c>
      <c r="F173" s="689">
        <f t="shared" si="11"/>
        <v>2.5736821378340364</v>
      </c>
      <c r="G173" s="689">
        <f t="shared" si="12"/>
        <v>18.29888</v>
      </c>
      <c r="H173" s="606" t="s">
        <v>543</v>
      </c>
      <c r="I173" s="606"/>
      <c r="J173" s="606"/>
      <c r="K173" s="697" t="s">
        <v>544</v>
      </c>
      <c r="L173" s="606"/>
      <c r="M173" s="606"/>
      <c r="N173" s="606"/>
      <c r="O173" s="606"/>
      <c r="P173" s="698"/>
      <c r="Q173" s="698"/>
      <c r="R173" s="698"/>
      <c r="S173" s="698"/>
      <c r="T173" s="697"/>
    </row>
    <row r="174" spans="1:20" hidden="1">
      <c r="A174" s="686" t="s">
        <v>309</v>
      </c>
      <c r="B174" s="690" t="s">
        <v>679</v>
      </c>
      <c r="C174" s="687"/>
      <c r="D174" s="688">
        <f>'[2]总投资-发采购-0411-GLP拆分场外费用(司调)'!G46</f>
        <v>164.68992</v>
      </c>
      <c r="E174" s="693">
        <f t="shared" si="9"/>
        <v>23.163139240506329</v>
      </c>
      <c r="F174" s="689">
        <f t="shared" si="11"/>
        <v>23.163139240506329</v>
      </c>
      <c r="G174" s="689">
        <f t="shared" si="12"/>
        <v>164.68992</v>
      </c>
      <c r="H174" s="606" t="s">
        <v>543</v>
      </c>
      <c r="I174" s="606"/>
      <c r="J174" s="606"/>
      <c r="K174" s="697" t="s">
        <v>544</v>
      </c>
      <c r="L174" s="606"/>
      <c r="M174" s="606"/>
      <c r="N174" s="606"/>
      <c r="O174" s="606"/>
      <c r="P174" s="698"/>
      <c r="Q174" s="698"/>
      <c r="R174" s="698"/>
      <c r="S174" s="698"/>
      <c r="T174" s="697"/>
    </row>
    <row r="175" spans="1:20" hidden="1">
      <c r="A175" s="686" t="s">
        <v>310</v>
      </c>
      <c r="B175" s="690" t="s">
        <v>680</v>
      </c>
      <c r="C175" s="687"/>
      <c r="D175" s="688">
        <f>'[2]总投资-发采购-0411-GLP拆分场外费用(司调)'!G47</f>
        <v>128.09216000000001</v>
      </c>
      <c r="E175" s="693">
        <f t="shared" si="9"/>
        <v>18.015774964838258</v>
      </c>
      <c r="F175" s="689">
        <f t="shared" si="11"/>
        <v>18.015774964838258</v>
      </c>
      <c r="G175" s="689">
        <f t="shared" si="12"/>
        <v>128.09216000000001</v>
      </c>
      <c r="H175" s="606" t="s">
        <v>543</v>
      </c>
      <c r="I175" s="606"/>
      <c r="J175" s="606"/>
      <c r="K175" s="697" t="s">
        <v>544</v>
      </c>
      <c r="L175" s="606"/>
      <c r="M175" s="606"/>
      <c r="N175" s="606"/>
      <c r="O175" s="606"/>
      <c r="P175" s="698"/>
      <c r="Q175" s="698"/>
      <c r="R175" s="698"/>
      <c r="S175" s="698"/>
      <c r="T175" s="697"/>
    </row>
    <row r="176" spans="1:20" hidden="1">
      <c r="A176" s="686" t="s">
        <v>311</v>
      </c>
      <c r="B176" s="690" t="s">
        <v>681</v>
      </c>
      <c r="C176" s="687"/>
      <c r="D176" s="688">
        <f>'[2]总投资-发采购-0411-GLP拆分场外费用(司调)'!G48</f>
        <v>283.63263999999998</v>
      </c>
      <c r="E176" s="693">
        <f t="shared" si="9"/>
        <v>39.892073136427562</v>
      </c>
      <c r="F176" s="689">
        <f t="shared" si="11"/>
        <v>39.892073136427562</v>
      </c>
      <c r="G176" s="689">
        <f t="shared" si="12"/>
        <v>283.63263999999998</v>
      </c>
      <c r="H176" s="606" t="s">
        <v>543</v>
      </c>
      <c r="I176" s="606"/>
      <c r="J176" s="606"/>
      <c r="K176" s="697" t="s">
        <v>544</v>
      </c>
      <c r="L176" s="606"/>
      <c r="M176" s="606"/>
      <c r="N176" s="606"/>
      <c r="O176" s="606"/>
      <c r="P176" s="698"/>
      <c r="Q176" s="698"/>
      <c r="R176" s="698"/>
      <c r="S176" s="698"/>
      <c r="T176" s="697"/>
    </row>
    <row r="177" spans="1:20" hidden="1">
      <c r="A177" s="686" t="s">
        <v>312</v>
      </c>
      <c r="B177" s="690" t="s">
        <v>682</v>
      </c>
      <c r="C177" s="687"/>
      <c r="D177" s="688">
        <f>'[2]总投资-发采购-0411-GLP拆分场外费用(司调)'!G49</f>
        <v>78.158937277231303</v>
      </c>
      <c r="E177" s="693">
        <f t="shared" si="9"/>
        <v>10.992818182451659</v>
      </c>
      <c r="F177" s="689">
        <f t="shared" si="11"/>
        <v>10.992818182451659</v>
      </c>
      <c r="G177" s="689">
        <f t="shared" si="12"/>
        <v>78.158937277231303</v>
      </c>
      <c r="H177" s="606" t="s">
        <v>543</v>
      </c>
      <c r="I177" s="606"/>
      <c r="J177" s="606"/>
      <c r="K177" s="697" t="s">
        <v>544</v>
      </c>
      <c r="L177" s="606"/>
      <c r="M177" s="606"/>
      <c r="N177" s="606"/>
      <c r="O177" s="606"/>
      <c r="P177" s="698"/>
      <c r="Q177" s="698"/>
      <c r="R177" s="698"/>
      <c r="S177" s="698"/>
      <c r="T177" s="697"/>
    </row>
    <row r="178" spans="1:20" hidden="1">
      <c r="A178" s="686" t="s">
        <v>313</v>
      </c>
      <c r="B178" s="690" t="s">
        <v>683</v>
      </c>
      <c r="C178" s="687"/>
      <c r="D178" s="688">
        <f>'[2]总投资-发采购-0411-GLP拆分场外费用(司调)'!G50</f>
        <v>571.84</v>
      </c>
      <c r="E178" s="693">
        <f t="shared" si="9"/>
        <v>80.427566807313639</v>
      </c>
      <c r="F178" s="689">
        <f t="shared" si="11"/>
        <v>80.427566807313639</v>
      </c>
      <c r="G178" s="689">
        <f t="shared" si="12"/>
        <v>571.84</v>
      </c>
      <c r="H178" s="606" t="s">
        <v>543</v>
      </c>
      <c r="I178" s="606"/>
      <c r="J178" s="606"/>
      <c r="K178" s="697" t="s">
        <v>544</v>
      </c>
      <c r="L178" s="606"/>
      <c r="M178" s="606"/>
      <c r="N178" s="606"/>
      <c r="O178" s="606"/>
      <c r="P178" s="698"/>
      <c r="Q178" s="698"/>
      <c r="R178" s="698"/>
      <c r="S178" s="698"/>
      <c r="T178" s="697"/>
    </row>
    <row r="179" spans="1:20" hidden="1">
      <c r="A179" s="686"/>
      <c r="B179" s="690" t="s">
        <v>684</v>
      </c>
      <c r="C179" s="687"/>
      <c r="D179" s="688">
        <f>'[2]总投资-发采购-0411-GLP拆分场外费用(司调)'!G51</f>
        <v>1068.4583406239401</v>
      </c>
      <c r="E179" s="693">
        <f t="shared" si="9"/>
        <v>150.27543468691141</v>
      </c>
      <c r="F179" s="689">
        <f t="shared" si="11"/>
        <v>150.27543468691141</v>
      </c>
      <c r="G179" s="689">
        <f t="shared" si="12"/>
        <v>1068.4583406239401</v>
      </c>
      <c r="H179" s="606" t="s">
        <v>543</v>
      </c>
      <c r="I179" s="606"/>
      <c r="J179" s="606"/>
      <c r="K179" s="697" t="s">
        <v>544</v>
      </c>
      <c r="L179" s="606"/>
      <c r="M179" s="606"/>
      <c r="N179" s="606"/>
      <c r="O179" s="606"/>
      <c r="P179" s="698"/>
      <c r="Q179" s="698"/>
      <c r="R179" s="698"/>
      <c r="S179" s="698"/>
      <c r="T179" s="697"/>
    </row>
    <row r="180" spans="1:20" hidden="1">
      <c r="A180" s="686" t="s">
        <v>314</v>
      </c>
      <c r="B180" s="690" t="s">
        <v>685</v>
      </c>
      <c r="C180" s="687"/>
      <c r="D180" s="688">
        <f>'[2]总投资-发采购-0411-GLP拆分场外费用(司调)'!G52</f>
        <v>65</v>
      </c>
      <c r="E180" s="693">
        <f t="shared" si="9"/>
        <v>9.1420534458509142</v>
      </c>
      <c r="F180" s="689">
        <f t="shared" si="11"/>
        <v>9.1420534458509142</v>
      </c>
      <c r="G180" s="689">
        <f t="shared" si="12"/>
        <v>65</v>
      </c>
      <c r="H180" s="606" t="s">
        <v>543</v>
      </c>
      <c r="I180" s="606"/>
      <c r="J180" s="606"/>
      <c r="K180" s="697" t="s">
        <v>544</v>
      </c>
      <c r="L180" s="606"/>
      <c r="M180" s="606"/>
      <c r="N180" s="606"/>
      <c r="O180" s="606"/>
      <c r="P180" s="698"/>
      <c r="Q180" s="698"/>
      <c r="R180" s="698"/>
      <c r="S180" s="698"/>
      <c r="T180" s="697"/>
    </row>
    <row r="181" spans="1:20" hidden="1">
      <c r="A181" s="686"/>
      <c r="B181" s="690" t="s">
        <v>686</v>
      </c>
      <c r="C181" s="687"/>
      <c r="D181" s="688">
        <f>'[2]总投资-发采购-0411-GLP拆分场外费用(司调)'!G53</f>
        <v>1</v>
      </c>
      <c r="E181" s="693">
        <f t="shared" si="9"/>
        <v>0.14064697609001406</v>
      </c>
      <c r="F181" s="689">
        <f t="shared" si="11"/>
        <v>0.14064697609001406</v>
      </c>
      <c r="G181" s="689">
        <f t="shared" si="12"/>
        <v>1</v>
      </c>
      <c r="H181" s="606" t="s">
        <v>543</v>
      </c>
      <c r="I181" s="606"/>
      <c r="J181" s="606"/>
      <c r="K181" s="697" t="s">
        <v>544</v>
      </c>
      <c r="L181" s="606"/>
      <c r="M181" s="606"/>
      <c r="N181" s="606"/>
      <c r="O181" s="606"/>
      <c r="P181" s="698"/>
      <c r="Q181" s="698"/>
      <c r="R181" s="698"/>
      <c r="S181" s="698"/>
      <c r="T181" s="697"/>
    </row>
    <row r="182" spans="1:20" hidden="1">
      <c r="A182" s="686"/>
      <c r="B182" s="690" t="s">
        <v>687</v>
      </c>
      <c r="C182" s="687"/>
      <c r="D182" s="688">
        <f>'[2]总投资-发采购-0411-GLP拆分场外费用(司调)'!G54</f>
        <v>11</v>
      </c>
      <c r="E182" s="693">
        <f t="shared" si="9"/>
        <v>1.5471167369901546</v>
      </c>
      <c r="F182" s="689">
        <f t="shared" si="11"/>
        <v>1.5471167369901546</v>
      </c>
      <c r="G182" s="689">
        <f t="shared" si="12"/>
        <v>11</v>
      </c>
      <c r="H182" s="606" t="s">
        <v>543</v>
      </c>
      <c r="I182" s="606"/>
      <c r="J182" s="606"/>
      <c r="K182" s="697" t="s">
        <v>544</v>
      </c>
      <c r="L182" s="606"/>
      <c r="M182" s="606"/>
      <c r="N182" s="606"/>
      <c r="O182" s="606"/>
      <c r="P182" s="698"/>
      <c r="Q182" s="698"/>
      <c r="R182" s="698"/>
      <c r="S182" s="698"/>
      <c r="T182" s="697"/>
    </row>
    <row r="183" spans="1:20" hidden="1">
      <c r="A183" s="686"/>
      <c r="B183" s="690" t="s">
        <v>688</v>
      </c>
      <c r="C183" s="687"/>
      <c r="D183" s="688">
        <f>'[2]总投资-发采购-0411-GLP拆分场外费用(司调)'!G55</f>
        <v>53</v>
      </c>
      <c r="E183" s="693">
        <f t="shared" ref="E183:E210" si="13">D183/$A$3</f>
        <v>7.4542897327707447</v>
      </c>
      <c r="F183" s="689">
        <f t="shared" si="11"/>
        <v>7.4542897327707447</v>
      </c>
      <c r="G183" s="689">
        <f t="shared" si="12"/>
        <v>53</v>
      </c>
      <c r="H183" s="606" t="s">
        <v>543</v>
      </c>
      <c r="I183" s="606"/>
      <c r="J183" s="606"/>
      <c r="K183" s="697" t="s">
        <v>544</v>
      </c>
      <c r="L183" s="606"/>
      <c r="M183" s="606"/>
      <c r="N183" s="606"/>
      <c r="O183" s="606"/>
      <c r="P183" s="698"/>
      <c r="Q183" s="698"/>
      <c r="R183" s="698"/>
      <c r="S183" s="698"/>
      <c r="T183" s="697"/>
    </row>
    <row r="184" spans="1:20" hidden="1">
      <c r="A184" s="686">
        <v>2.6</v>
      </c>
      <c r="B184" s="690" t="s">
        <v>726</v>
      </c>
      <c r="C184" s="687"/>
      <c r="D184" s="688">
        <f>'[2]总投资-发采购-0411-GLP拆分场外费用(司调)'!G56</f>
        <v>5747.9617310399199</v>
      </c>
      <c r="E184" s="693">
        <f t="shared" si="13"/>
        <v>808.43343615188746</v>
      </c>
      <c r="F184" s="689">
        <f t="shared" si="11"/>
        <v>808.43343615188746</v>
      </c>
      <c r="G184" s="689">
        <f t="shared" si="12"/>
        <v>5747.9617310399199</v>
      </c>
      <c r="H184" s="606" t="s">
        <v>543</v>
      </c>
      <c r="I184" s="606"/>
      <c r="J184" s="606"/>
      <c r="K184" s="697" t="s">
        <v>544</v>
      </c>
      <c r="L184" s="606"/>
      <c r="M184" s="606"/>
      <c r="N184" s="606"/>
      <c r="O184" s="606"/>
      <c r="P184" s="698"/>
      <c r="Q184" s="698"/>
      <c r="R184" s="698"/>
      <c r="S184" s="698"/>
      <c r="T184" s="697"/>
    </row>
    <row r="185" spans="1:20" hidden="1">
      <c r="A185" s="686" t="s">
        <v>316</v>
      </c>
      <c r="B185" s="690" t="s">
        <v>677</v>
      </c>
      <c r="C185" s="687"/>
      <c r="D185" s="688">
        <f>'[2]总投资-发采购-0411-GLP拆分场外费用(司调)'!G57</f>
        <v>3574</v>
      </c>
      <c r="E185" s="693">
        <f t="shared" si="13"/>
        <v>502.67229254571026</v>
      </c>
      <c r="F185" s="689">
        <f t="shared" si="11"/>
        <v>502.67229254571026</v>
      </c>
      <c r="G185" s="689">
        <f t="shared" si="12"/>
        <v>3574</v>
      </c>
      <c r="H185" s="606" t="s">
        <v>543</v>
      </c>
      <c r="I185" s="606"/>
      <c r="J185" s="606"/>
      <c r="K185" s="697" t="s">
        <v>544</v>
      </c>
      <c r="L185" s="606"/>
      <c r="M185" s="606"/>
      <c r="N185" s="606"/>
      <c r="O185" s="606"/>
      <c r="P185" s="698"/>
      <c r="Q185" s="698"/>
      <c r="R185" s="698"/>
      <c r="S185" s="698"/>
      <c r="T185" s="697"/>
    </row>
    <row r="186" spans="1:20" hidden="1">
      <c r="A186" s="686" t="s">
        <v>317</v>
      </c>
      <c r="B186" s="690" t="s">
        <v>678</v>
      </c>
      <c r="C186" s="687"/>
      <c r="D186" s="688">
        <f>'[2]总投资-发采购-0411-GLP拆分场外费用(司调)'!G58</f>
        <v>18.29888</v>
      </c>
      <c r="E186" s="693">
        <f t="shared" si="13"/>
        <v>2.5736821378340364</v>
      </c>
      <c r="F186" s="689">
        <f t="shared" si="11"/>
        <v>2.5736821378340364</v>
      </c>
      <c r="G186" s="689">
        <f t="shared" si="12"/>
        <v>18.29888</v>
      </c>
      <c r="H186" s="606" t="s">
        <v>543</v>
      </c>
      <c r="I186" s="606"/>
      <c r="J186" s="606"/>
      <c r="K186" s="697" t="s">
        <v>544</v>
      </c>
      <c r="L186" s="606"/>
      <c r="M186" s="606"/>
      <c r="N186" s="606"/>
      <c r="O186" s="606"/>
      <c r="P186" s="698"/>
      <c r="Q186" s="698"/>
      <c r="R186" s="698"/>
      <c r="S186" s="698"/>
      <c r="T186" s="697"/>
    </row>
    <row r="187" spans="1:20" hidden="1">
      <c r="A187" s="686" t="s">
        <v>318</v>
      </c>
      <c r="B187" s="690" t="s">
        <v>679</v>
      </c>
      <c r="C187" s="687"/>
      <c r="D187" s="688">
        <f>'[2]总投资-发采购-0411-GLP拆分场外费用(司调)'!G59</f>
        <v>164.68992</v>
      </c>
      <c r="E187" s="693">
        <f t="shared" si="13"/>
        <v>23.163139240506329</v>
      </c>
      <c r="F187" s="689">
        <f t="shared" si="11"/>
        <v>23.163139240506329</v>
      </c>
      <c r="G187" s="689">
        <f t="shared" si="12"/>
        <v>164.68992</v>
      </c>
      <c r="H187" s="606" t="s">
        <v>543</v>
      </c>
      <c r="I187" s="606"/>
      <c r="J187" s="606"/>
      <c r="K187" s="697" t="s">
        <v>544</v>
      </c>
      <c r="L187" s="606"/>
      <c r="M187" s="606"/>
      <c r="N187" s="606"/>
      <c r="O187" s="606"/>
      <c r="P187" s="698"/>
      <c r="Q187" s="698"/>
      <c r="R187" s="698"/>
      <c r="S187" s="698"/>
      <c r="T187" s="697"/>
    </row>
    <row r="188" spans="1:20" hidden="1">
      <c r="A188" s="686" t="s">
        <v>319</v>
      </c>
      <c r="B188" s="690" t="s">
        <v>680</v>
      </c>
      <c r="C188" s="687"/>
      <c r="D188" s="688">
        <f>'[2]总投资-发采购-0411-GLP拆分场外费用(司调)'!G60</f>
        <v>128.09216000000001</v>
      </c>
      <c r="E188" s="693">
        <f t="shared" si="13"/>
        <v>18.015774964838258</v>
      </c>
      <c r="F188" s="689">
        <f t="shared" si="11"/>
        <v>18.015774964838258</v>
      </c>
      <c r="G188" s="689">
        <f t="shared" si="12"/>
        <v>128.09216000000001</v>
      </c>
      <c r="H188" s="606" t="s">
        <v>543</v>
      </c>
      <c r="I188" s="606"/>
      <c r="J188" s="606"/>
      <c r="K188" s="697" t="s">
        <v>544</v>
      </c>
      <c r="L188" s="606"/>
      <c r="M188" s="606"/>
      <c r="N188" s="606"/>
      <c r="O188" s="606"/>
      <c r="P188" s="698"/>
      <c r="Q188" s="698"/>
      <c r="R188" s="698"/>
      <c r="S188" s="698"/>
      <c r="T188" s="697"/>
    </row>
    <row r="189" spans="1:20" hidden="1">
      <c r="A189" s="686" t="s">
        <v>320</v>
      </c>
      <c r="B189" s="690" t="s">
        <v>681</v>
      </c>
      <c r="C189" s="687"/>
      <c r="D189" s="688">
        <f>'[2]总投资-发采购-0411-GLP拆分场外费用(司调)'!G61</f>
        <v>283.63263999999998</v>
      </c>
      <c r="E189" s="693">
        <f t="shared" si="13"/>
        <v>39.892073136427562</v>
      </c>
      <c r="F189" s="689">
        <f t="shared" si="11"/>
        <v>39.892073136427562</v>
      </c>
      <c r="G189" s="689">
        <f t="shared" si="12"/>
        <v>283.63263999999998</v>
      </c>
      <c r="H189" s="606" t="s">
        <v>543</v>
      </c>
      <c r="I189" s="606"/>
      <c r="J189" s="606"/>
      <c r="K189" s="697" t="s">
        <v>544</v>
      </c>
      <c r="L189" s="606"/>
      <c r="M189" s="606"/>
      <c r="N189" s="606"/>
      <c r="O189" s="606"/>
      <c r="P189" s="698"/>
      <c r="Q189" s="698"/>
      <c r="R189" s="698"/>
      <c r="S189" s="698"/>
      <c r="T189" s="697"/>
    </row>
    <row r="190" spans="1:20" hidden="1">
      <c r="A190" s="686" t="s">
        <v>321</v>
      </c>
      <c r="B190" s="690" t="s">
        <v>682</v>
      </c>
      <c r="C190" s="687"/>
      <c r="D190" s="688">
        <f>'[2]总投资-发采购-0411-GLP拆分场外费用(司调)'!G62</f>
        <v>78.158937277231303</v>
      </c>
      <c r="E190" s="693">
        <f t="shared" si="13"/>
        <v>10.992818182451659</v>
      </c>
      <c r="F190" s="689">
        <f t="shared" si="11"/>
        <v>10.992818182451659</v>
      </c>
      <c r="G190" s="689">
        <f t="shared" si="12"/>
        <v>78.158937277231303</v>
      </c>
      <c r="H190" s="606" t="s">
        <v>543</v>
      </c>
      <c r="I190" s="606"/>
      <c r="J190" s="606"/>
      <c r="K190" s="697" t="s">
        <v>544</v>
      </c>
      <c r="L190" s="606"/>
      <c r="M190" s="606"/>
      <c r="N190" s="606"/>
      <c r="O190" s="606"/>
      <c r="P190" s="698"/>
      <c r="Q190" s="698"/>
      <c r="R190" s="698"/>
      <c r="S190" s="698"/>
      <c r="T190" s="697"/>
    </row>
    <row r="191" spans="1:20" hidden="1">
      <c r="A191" s="686" t="s">
        <v>322</v>
      </c>
      <c r="B191" s="690" t="s">
        <v>683</v>
      </c>
      <c r="C191" s="687"/>
      <c r="D191" s="688">
        <f>'[2]总投资-发采购-0411-GLP拆分场外费用(司调)'!G63</f>
        <v>571.84</v>
      </c>
      <c r="E191" s="693">
        <f t="shared" si="13"/>
        <v>80.427566807313639</v>
      </c>
      <c r="F191" s="689">
        <f t="shared" si="11"/>
        <v>80.427566807313639</v>
      </c>
      <c r="G191" s="689">
        <f t="shared" si="12"/>
        <v>571.84</v>
      </c>
      <c r="H191" s="606" t="s">
        <v>543</v>
      </c>
      <c r="I191" s="606"/>
      <c r="J191" s="606"/>
      <c r="K191" s="697" t="s">
        <v>544</v>
      </c>
      <c r="L191" s="606"/>
      <c r="M191" s="606"/>
      <c r="N191" s="606"/>
      <c r="O191" s="606"/>
      <c r="P191" s="698"/>
      <c r="Q191" s="698"/>
      <c r="R191" s="698"/>
      <c r="S191" s="698"/>
      <c r="T191" s="697"/>
    </row>
    <row r="192" spans="1:20" hidden="1">
      <c r="A192" s="686"/>
      <c r="B192" s="690" t="s">
        <v>684</v>
      </c>
      <c r="C192" s="687"/>
      <c r="D192" s="688">
        <f>'[2]总投资-发采购-0411-GLP拆分场外费用(司调)'!G64</f>
        <v>864.24919376268497</v>
      </c>
      <c r="E192" s="693">
        <f t="shared" si="13"/>
        <v>121.55403569095428</v>
      </c>
      <c r="F192" s="689">
        <f t="shared" si="11"/>
        <v>121.55403569095428</v>
      </c>
      <c r="G192" s="689">
        <f t="shared" si="12"/>
        <v>864.24919376268497</v>
      </c>
      <c r="H192" s="606" t="s">
        <v>543</v>
      </c>
      <c r="I192" s="606"/>
      <c r="J192" s="606"/>
      <c r="K192" s="697" t="s">
        <v>544</v>
      </c>
      <c r="L192" s="606"/>
      <c r="M192" s="606"/>
      <c r="N192" s="606"/>
      <c r="O192" s="606"/>
      <c r="P192" s="698"/>
      <c r="Q192" s="698"/>
      <c r="R192" s="698"/>
      <c r="S192" s="698"/>
      <c r="T192" s="697"/>
    </row>
    <row r="193" spans="1:20" hidden="1">
      <c r="A193" s="686" t="s">
        <v>323</v>
      </c>
      <c r="B193" s="690" t="s">
        <v>685</v>
      </c>
      <c r="C193" s="687"/>
      <c r="D193" s="688">
        <f>'[2]总投资-发采购-0411-GLP拆分场外费用(司调)'!G65</f>
        <v>65</v>
      </c>
      <c r="E193" s="693">
        <f t="shared" si="13"/>
        <v>9.1420534458509142</v>
      </c>
      <c r="F193" s="689">
        <f t="shared" si="11"/>
        <v>9.1420534458509142</v>
      </c>
      <c r="G193" s="689">
        <f t="shared" si="12"/>
        <v>65</v>
      </c>
      <c r="H193" s="606" t="s">
        <v>543</v>
      </c>
      <c r="I193" s="606"/>
      <c r="J193" s="606"/>
      <c r="K193" s="697" t="s">
        <v>544</v>
      </c>
      <c r="L193" s="606"/>
      <c r="M193" s="606"/>
      <c r="N193" s="606"/>
      <c r="O193" s="606"/>
      <c r="P193" s="698"/>
      <c r="Q193" s="698"/>
      <c r="R193" s="698"/>
      <c r="S193" s="698"/>
      <c r="T193" s="697"/>
    </row>
    <row r="194" spans="1:20" hidden="1">
      <c r="A194" s="686"/>
      <c r="B194" s="690" t="s">
        <v>686</v>
      </c>
      <c r="C194" s="687"/>
      <c r="D194" s="688">
        <f>'[2]总投资-发采购-0411-GLP拆分场外费用(司调)'!G66</f>
        <v>1</v>
      </c>
      <c r="E194" s="693">
        <f t="shared" si="13"/>
        <v>0.14064697609001406</v>
      </c>
      <c r="F194" s="689">
        <f t="shared" si="11"/>
        <v>0.14064697609001406</v>
      </c>
      <c r="G194" s="689">
        <f t="shared" si="12"/>
        <v>1</v>
      </c>
      <c r="H194" s="606" t="s">
        <v>543</v>
      </c>
      <c r="I194" s="606"/>
      <c r="J194" s="606"/>
      <c r="K194" s="697" t="s">
        <v>544</v>
      </c>
      <c r="L194" s="606"/>
      <c r="M194" s="606"/>
      <c r="N194" s="606"/>
      <c r="O194" s="606"/>
      <c r="P194" s="698"/>
      <c r="Q194" s="698"/>
      <c r="R194" s="698"/>
      <c r="S194" s="698"/>
      <c r="T194" s="697"/>
    </row>
    <row r="195" spans="1:20" hidden="1">
      <c r="A195" s="686"/>
      <c r="B195" s="690" t="s">
        <v>687</v>
      </c>
      <c r="C195" s="687"/>
      <c r="D195" s="688">
        <f>'[2]总投资-发采购-0411-GLP拆分场外费用(司调)'!G67</f>
        <v>11</v>
      </c>
      <c r="E195" s="693">
        <f t="shared" si="13"/>
        <v>1.5471167369901546</v>
      </c>
      <c r="F195" s="689">
        <f t="shared" si="11"/>
        <v>1.5471167369901546</v>
      </c>
      <c r="G195" s="689">
        <f t="shared" si="12"/>
        <v>11</v>
      </c>
      <c r="H195" s="606" t="s">
        <v>543</v>
      </c>
      <c r="I195" s="606"/>
      <c r="J195" s="606"/>
      <c r="K195" s="697" t="s">
        <v>544</v>
      </c>
      <c r="L195" s="606"/>
      <c r="M195" s="606"/>
      <c r="N195" s="606"/>
      <c r="O195" s="606"/>
      <c r="P195" s="698"/>
      <c r="Q195" s="698"/>
      <c r="R195" s="698"/>
      <c r="S195" s="698"/>
      <c r="T195" s="697"/>
    </row>
    <row r="196" spans="1:20" hidden="1">
      <c r="A196" s="686"/>
      <c r="B196" s="690" t="s">
        <v>688</v>
      </c>
      <c r="C196" s="687"/>
      <c r="D196" s="688">
        <f>'[2]总投资-发采购-0411-GLP拆分场外费用(司调)'!G68</f>
        <v>53</v>
      </c>
      <c r="E196" s="693">
        <f t="shared" si="13"/>
        <v>7.4542897327707447</v>
      </c>
      <c r="F196" s="689">
        <f t="shared" si="11"/>
        <v>7.4542897327707447</v>
      </c>
      <c r="G196" s="689">
        <f t="shared" si="12"/>
        <v>53</v>
      </c>
      <c r="H196" s="606" t="s">
        <v>543</v>
      </c>
      <c r="I196" s="606"/>
      <c r="J196" s="606"/>
      <c r="K196" s="697" t="s">
        <v>544</v>
      </c>
      <c r="L196" s="606"/>
      <c r="M196" s="606"/>
      <c r="N196" s="606"/>
      <c r="O196" s="606"/>
      <c r="P196" s="698"/>
      <c r="Q196" s="698"/>
      <c r="R196" s="698"/>
      <c r="S196" s="698"/>
      <c r="T196" s="697"/>
    </row>
    <row r="197" spans="1:20" hidden="1">
      <c r="A197" s="686">
        <v>2.7</v>
      </c>
      <c r="B197" s="690" t="s">
        <v>727</v>
      </c>
      <c r="C197" s="687"/>
      <c r="D197" s="688">
        <f>'[2]总投资-发采购-0411-GLP拆分场外费用(司调)'!G69</f>
        <v>5776.8425281711698</v>
      </c>
      <c r="E197" s="693">
        <f t="shared" si="13"/>
        <v>812.49543293546685</v>
      </c>
      <c r="F197" s="689">
        <f t="shared" si="11"/>
        <v>812.49543293546685</v>
      </c>
      <c r="G197" s="689">
        <f t="shared" si="12"/>
        <v>5776.8425281711698</v>
      </c>
      <c r="H197" s="606" t="s">
        <v>543</v>
      </c>
      <c r="I197" s="606"/>
      <c r="J197" s="606"/>
      <c r="K197" s="697" t="s">
        <v>544</v>
      </c>
      <c r="L197" s="606"/>
      <c r="M197" s="606"/>
      <c r="N197" s="606"/>
      <c r="O197" s="606"/>
      <c r="P197" s="698"/>
      <c r="Q197" s="698"/>
      <c r="R197" s="698"/>
      <c r="S197" s="698"/>
      <c r="T197" s="697"/>
    </row>
    <row r="198" spans="1:20" hidden="1">
      <c r="A198" s="686" t="s">
        <v>325</v>
      </c>
      <c r="B198" s="690" t="s">
        <v>677</v>
      </c>
      <c r="C198" s="687"/>
      <c r="D198" s="688">
        <f>'[2]总投资-发采购-0411-GLP拆分场外费用(司调)'!G70</f>
        <v>3574</v>
      </c>
      <c r="E198" s="693">
        <f t="shared" si="13"/>
        <v>502.67229254571026</v>
      </c>
      <c r="F198" s="689">
        <f t="shared" si="11"/>
        <v>502.67229254571026</v>
      </c>
      <c r="G198" s="689">
        <f t="shared" si="12"/>
        <v>3574</v>
      </c>
      <c r="H198" s="606" t="s">
        <v>543</v>
      </c>
      <c r="I198" s="606"/>
      <c r="J198" s="606"/>
      <c r="K198" s="697" t="s">
        <v>544</v>
      </c>
      <c r="L198" s="606"/>
      <c r="M198" s="606"/>
      <c r="N198" s="606"/>
      <c r="O198" s="606"/>
      <c r="P198" s="698"/>
      <c r="Q198" s="698"/>
      <c r="R198" s="698"/>
      <c r="S198" s="698"/>
      <c r="T198" s="697"/>
    </row>
    <row r="199" spans="1:20" hidden="1">
      <c r="A199" s="686" t="s">
        <v>326</v>
      </c>
      <c r="B199" s="690" t="s">
        <v>678</v>
      </c>
      <c r="C199" s="687"/>
      <c r="D199" s="688">
        <f>'[2]总投资-发采购-0411-GLP拆分场外费用(司调)'!G71</f>
        <v>18.29888</v>
      </c>
      <c r="E199" s="693">
        <f t="shared" si="13"/>
        <v>2.5736821378340364</v>
      </c>
      <c r="F199" s="689">
        <f t="shared" si="11"/>
        <v>2.5736821378340364</v>
      </c>
      <c r="G199" s="689">
        <f t="shared" si="12"/>
        <v>18.29888</v>
      </c>
      <c r="H199" s="606" t="s">
        <v>543</v>
      </c>
      <c r="I199" s="606"/>
      <c r="J199" s="606"/>
      <c r="K199" s="697" t="s">
        <v>544</v>
      </c>
      <c r="L199" s="606"/>
      <c r="M199" s="606"/>
      <c r="N199" s="606"/>
      <c r="O199" s="606"/>
      <c r="P199" s="698"/>
      <c r="Q199" s="698"/>
      <c r="R199" s="698"/>
      <c r="S199" s="698"/>
      <c r="T199" s="697"/>
    </row>
    <row r="200" spans="1:20" hidden="1">
      <c r="A200" s="686" t="s">
        <v>327</v>
      </c>
      <c r="B200" s="690" t="s">
        <v>679</v>
      </c>
      <c r="C200" s="687"/>
      <c r="D200" s="688">
        <f>'[2]总投资-发采购-0411-GLP拆分场外费用(司调)'!G72</f>
        <v>164.68992</v>
      </c>
      <c r="E200" s="693">
        <f t="shared" si="13"/>
        <v>23.163139240506329</v>
      </c>
      <c r="F200" s="689">
        <f t="shared" si="11"/>
        <v>23.163139240506329</v>
      </c>
      <c r="G200" s="689">
        <f t="shared" si="12"/>
        <v>164.68992</v>
      </c>
      <c r="H200" s="606" t="s">
        <v>543</v>
      </c>
      <c r="I200" s="606"/>
      <c r="J200" s="606"/>
      <c r="K200" s="697" t="s">
        <v>544</v>
      </c>
      <c r="L200" s="606"/>
      <c r="M200" s="606"/>
      <c r="N200" s="606"/>
      <c r="O200" s="606"/>
      <c r="P200" s="698"/>
      <c r="Q200" s="698"/>
      <c r="R200" s="698"/>
      <c r="S200" s="698"/>
      <c r="T200" s="697"/>
    </row>
    <row r="201" spans="1:20" hidden="1">
      <c r="A201" s="686" t="s">
        <v>328</v>
      </c>
      <c r="B201" s="690" t="s">
        <v>680</v>
      </c>
      <c r="C201" s="687"/>
      <c r="D201" s="688">
        <f>'[2]总投资-发采购-0411-GLP拆分场外费用(司调)'!G73</f>
        <v>128.09216000000001</v>
      </c>
      <c r="E201" s="693">
        <f t="shared" si="13"/>
        <v>18.015774964838258</v>
      </c>
      <c r="F201" s="689">
        <f t="shared" si="11"/>
        <v>18.015774964838258</v>
      </c>
      <c r="G201" s="689">
        <f t="shared" si="12"/>
        <v>128.09216000000001</v>
      </c>
      <c r="H201" s="606" t="s">
        <v>543</v>
      </c>
      <c r="I201" s="606"/>
      <c r="J201" s="606"/>
      <c r="K201" s="697" t="s">
        <v>544</v>
      </c>
      <c r="L201" s="606"/>
      <c r="M201" s="606"/>
      <c r="N201" s="606"/>
      <c r="O201" s="606"/>
      <c r="P201" s="698"/>
      <c r="Q201" s="698"/>
      <c r="R201" s="698"/>
      <c r="S201" s="698"/>
      <c r="T201" s="697"/>
    </row>
    <row r="202" spans="1:20" hidden="1">
      <c r="A202" s="686" t="s">
        <v>329</v>
      </c>
      <c r="B202" s="690" t="s">
        <v>681</v>
      </c>
      <c r="C202" s="687"/>
      <c r="D202" s="688">
        <f>'[2]总投资-发采购-0411-GLP拆分场外费用(司调)'!G74</f>
        <v>283.63263999999998</v>
      </c>
      <c r="E202" s="693">
        <f t="shared" si="13"/>
        <v>39.892073136427562</v>
      </c>
      <c r="F202" s="689">
        <f t="shared" si="11"/>
        <v>39.892073136427562</v>
      </c>
      <c r="G202" s="689">
        <f t="shared" si="12"/>
        <v>283.63263999999998</v>
      </c>
      <c r="H202" s="606" t="s">
        <v>543</v>
      </c>
      <c r="I202" s="606"/>
      <c r="J202" s="606"/>
      <c r="K202" s="697" t="s">
        <v>544</v>
      </c>
      <c r="L202" s="606"/>
      <c r="M202" s="606"/>
      <c r="N202" s="606"/>
      <c r="O202" s="606"/>
      <c r="P202" s="698"/>
      <c r="Q202" s="698"/>
      <c r="R202" s="698"/>
      <c r="S202" s="698"/>
      <c r="T202" s="697"/>
    </row>
    <row r="203" spans="1:20" hidden="1">
      <c r="A203" s="686" t="s">
        <v>330</v>
      </c>
      <c r="B203" s="690" t="s">
        <v>682</v>
      </c>
      <c r="C203" s="687"/>
      <c r="D203" s="688">
        <f>'[2]总投资-发采购-0411-GLP拆分场外费用(司调)'!G75</f>
        <v>78.158937277231303</v>
      </c>
      <c r="E203" s="693">
        <f t="shared" si="13"/>
        <v>10.992818182451659</v>
      </c>
      <c r="F203" s="689">
        <f t="shared" si="11"/>
        <v>10.992818182451659</v>
      </c>
      <c r="G203" s="689">
        <f t="shared" si="12"/>
        <v>78.158937277231303</v>
      </c>
      <c r="H203" s="606" t="s">
        <v>543</v>
      </c>
      <c r="I203" s="606"/>
      <c r="J203" s="606"/>
      <c r="K203" s="697" t="s">
        <v>544</v>
      </c>
      <c r="L203" s="606"/>
      <c r="M203" s="606"/>
      <c r="N203" s="606"/>
      <c r="O203" s="606"/>
      <c r="P203" s="698"/>
      <c r="Q203" s="698"/>
      <c r="R203" s="698"/>
      <c r="S203" s="698"/>
      <c r="T203" s="697"/>
    </row>
    <row r="204" spans="1:20" hidden="1">
      <c r="A204" s="686" t="s">
        <v>331</v>
      </c>
      <c r="B204" s="690" t="s">
        <v>683</v>
      </c>
      <c r="C204" s="687"/>
      <c r="D204" s="688">
        <f>'[2]总投资-发采购-0411-GLP拆分场外费用(司调)'!G76</f>
        <v>571.84</v>
      </c>
      <c r="E204" s="693">
        <f t="shared" si="13"/>
        <v>80.427566807313639</v>
      </c>
      <c r="F204" s="689">
        <f t="shared" si="11"/>
        <v>80.427566807313639</v>
      </c>
      <c r="G204" s="689">
        <f t="shared" si="12"/>
        <v>571.84</v>
      </c>
      <c r="H204" s="606" t="s">
        <v>543</v>
      </c>
      <c r="I204" s="606"/>
      <c r="J204" s="606"/>
      <c r="K204" s="697" t="s">
        <v>544</v>
      </c>
      <c r="L204" s="606"/>
      <c r="M204" s="606"/>
      <c r="N204" s="606"/>
      <c r="O204" s="606"/>
      <c r="P204" s="698"/>
      <c r="Q204" s="698"/>
      <c r="R204" s="698"/>
      <c r="S204" s="698"/>
      <c r="T204" s="697"/>
    </row>
    <row r="205" spans="1:20" hidden="1">
      <c r="A205" s="686"/>
      <c r="B205" s="690" t="s">
        <v>684</v>
      </c>
      <c r="C205" s="687"/>
      <c r="D205" s="688">
        <f>'[2]总投资-发采购-0411-GLP拆分场外费用(司调)'!G77</f>
        <v>893.12999089393804</v>
      </c>
      <c r="E205" s="693">
        <f t="shared" si="13"/>
        <v>125.61603247453418</v>
      </c>
      <c r="F205" s="689">
        <f t="shared" si="11"/>
        <v>125.61603247453418</v>
      </c>
      <c r="G205" s="689">
        <f t="shared" si="12"/>
        <v>893.12999089393804</v>
      </c>
      <c r="H205" s="606" t="s">
        <v>543</v>
      </c>
      <c r="I205" s="606"/>
      <c r="J205" s="606"/>
      <c r="K205" s="697" t="s">
        <v>544</v>
      </c>
      <c r="L205" s="606"/>
      <c r="M205" s="606"/>
      <c r="N205" s="606"/>
      <c r="O205" s="606"/>
      <c r="P205" s="698"/>
      <c r="Q205" s="698"/>
      <c r="R205" s="698"/>
      <c r="S205" s="698"/>
      <c r="T205" s="697"/>
    </row>
    <row r="206" spans="1:20" hidden="1">
      <c r="A206" s="686" t="s">
        <v>332</v>
      </c>
      <c r="B206" s="690" t="s">
        <v>685</v>
      </c>
      <c r="C206" s="687"/>
      <c r="D206" s="688">
        <f>'[2]总投资-发采购-0411-GLP拆分场外费用(司调)'!G78</f>
        <v>65</v>
      </c>
      <c r="E206" s="693">
        <f t="shared" si="13"/>
        <v>9.1420534458509142</v>
      </c>
      <c r="F206" s="689">
        <f t="shared" si="11"/>
        <v>9.1420534458509142</v>
      </c>
      <c r="G206" s="689">
        <f t="shared" si="12"/>
        <v>65</v>
      </c>
      <c r="H206" s="606" t="s">
        <v>543</v>
      </c>
      <c r="I206" s="606"/>
      <c r="J206" s="606"/>
      <c r="K206" s="697" t="s">
        <v>544</v>
      </c>
      <c r="L206" s="606"/>
      <c r="M206" s="606"/>
      <c r="N206" s="606"/>
      <c r="O206" s="606"/>
      <c r="P206" s="698"/>
      <c r="Q206" s="698"/>
      <c r="R206" s="698"/>
      <c r="S206" s="698"/>
      <c r="T206" s="697"/>
    </row>
    <row r="207" spans="1:20" hidden="1">
      <c r="A207" s="686"/>
      <c r="B207" s="690" t="s">
        <v>686</v>
      </c>
      <c r="C207" s="687"/>
      <c r="D207" s="688">
        <f>'[2]总投资-发采购-0411-GLP拆分场外费用(司调)'!G79</f>
        <v>1</v>
      </c>
      <c r="E207" s="693">
        <f t="shared" si="13"/>
        <v>0.14064697609001406</v>
      </c>
      <c r="F207" s="689">
        <f t="shared" si="11"/>
        <v>0.14064697609001406</v>
      </c>
      <c r="G207" s="689">
        <f t="shared" si="12"/>
        <v>1</v>
      </c>
      <c r="H207" s="606" t="s">
        <v>543</v>
      </c>
      <c r="I207" s="606"/>
      <c r="J207" s="606"/>
      <c r="K207" s="697" t="s">
        <v>544</v>
      </c>
      <c r="L207" s="606"/>
      <c r="M207" s="606"/>
      <c r="N207" s="606"/>
      <c r="O207" s="606"/>
      <c r="P207" s="698"/>
      <c r="Q207" s="698"/>
      <c r="R207" s="698"/>
      <c r="S207" s="698"/>
      <c r="T207" s="697"/>
    </row>
    <row r="208" spans="1:20" hidden="1">
      <c r="A208" s="686"/>
      <c r="B208" s="690" t="s">
        <v>687</v>
      </c>
      <c r="C208" s="687"/>
      <c r="D208" s="688">
        <f>'[2]总投资-发采购-0411-GLP拆分场外费用(司调)'!G80</f>
        <v>11</v>
      </c>
      <c r="E208" s="693">
        <f t="shared" si="13"/>
        <v>1.5471167369901546</v>
      </c>
      <c r="F208" s="689">
        <f t="shared" ref="F208:F211" si="14">E208</f>
        <v>1.5471167369901546</v>
      </c>
      <c r="G208" s="689">
        <f t="shared" si="12"/>
        <v>11</v>
      </c>
      <c r="H208" s="606" t="s">
        <v>543</v>
      </c>
      <c r="I208" s="606"/>
      <c r="J208" s="606"/>
      <c r="K208" s="697" t="s">
        <v>544</v>
      </c>
      <c r="L208" s="606"/>
      <c r="M208" s="606"/>
      <c r="N208" s="606"/>
      <c r="O208" s="606"/>
      <c r="P208" s="698"/>
      <c r="Q208" s="698"/>
      <c r="R208" s="698"/>
      <c r="S208" s="698"/>
      <c r="T208" s="697"/>
    </row>
    <row r="209" spans="1:20" hidden="1">
      <c r="A209" s="686"/>
      <c r="B209" s="690" t="s">
        <v>688</v>
      </c>
      <c r="C209" s="687"/>
      <c r="D209" s="688">
        <f>'[2]总投资-发采购-0411-GLP拆分场外费用(司调)'!G81</f>
        <v>53</v>
      </c>
      <c r="E209" s="693">
        <f t="shared" si="13"/>
        <v>7.4542897327707447</v>
      </c>
      <c r="F209" s="689">
        <f t="shared" si="14"/>
        <v>7.4542897327707447</v>
      </c>
      <c r="G209" s="689">
        <f t="shared" si="12"/>
        <v>53</v>
      </c>
      <c r="H209" s="606" t="s">
        <v>543</v>
      </c>
      <c r="I209" s="606"/>
      <c r="J209" s="606"/>
      <c r="K209" s="697" t="s">
        <v>544</v>
      </c>
      <c r="L209" s="606"/>
      <c r="M209" s="606"/>
      <c r="N209" s="606"/>
      <c r="O209" s="606"/>
      <c r="P209" s="698"/>
      <c r="Q209" s="698"/>
      <c r="R209" s="698"/>
      <c r="S209" s="698"/>
      <c r="T209" s="697"/>
    </row>
    <row r="210" spans="1:20">
      <c r="A210" s="606" t="s">
        <v>44</v>
      </c>
      <c r="B210" s="709" t="s">
        <v>548</v>
      </c>
      <c r="C210" s="709" t="s">
        <v>640</v>
      </c>
      <c r="D210" s="710">
        <f>SUM('[2]总投资-发采购-0411-GLP拆分场外费用(司调)'!G205,'[2]总投资-发采购-0411-GLP拆分场外费用(司调)'!G208,'[2]总投资-发采购-0411-GLP拆分场外费用(司调)'!G211,'[2]总投资-发采购-0411-GLP拆分场外费用(司调)'!G214,'[2]总投资-发采购-0411-GLP拆分场外费用(司调)'!G218)</f>
        <v>3292.1051520000001</v>
      </c>
      <c r="E210" s="711">
        <f t="shared" si="13"/>
        <v>463.02463459915612</v>
      </c>
      <c r="F210" s="712">
        <f t="shared" si="14"/>
        <v>463.02463459915612</v>
      </c>
      <c r="G210" s="712">
        <f t="shared" si="12"/>
        <v>3292.1051520000001</v>
      </c>
      <c r="H210" s="606" t="s">
        <v>543</v>
      </c>
      <c r="I210" s="606" t="s">
        <v>30</v>
      </c>
      <c r="J210" s="606">
        <v>12</v>
      </c>
      <c r="K210" s="697" t="s">
        <v>31</v>
      </c>
      <c r="L210" s="606"/>
      <c r="M210" s="606"/>
      <c r="N210" s="606"/>
      <c r="O210" s="606"/>
      <c r="P210" s="698" t="s">
        <v>337</v>
      </c>
      <c r="Q210" s="698" t="s">
        <v>338</v>
      </c>
      <c r="R210" s="698" t="s">
        <v>136</v>
      </c>
      <c r="S210" s="698" t="s">
        <v>339</v>
      </c>
      <c r="T210" s="697"/>
    </row>
    <row r="211" spans="1:20">
      <c r="A211" s="1075" t="s">
        <v>104</v>
      </c>
      <c r="B211" s="1076"/>
      <c r="C211" s="1077"/>
      <c r="D211" s="713">
        <f>SUM(D7,D30,D44,D74,D117,D157,D210)</f>
        <v>174384.82564401845</v>
      </c>
      <c r="E211" s="713">
        <f>SUM(E7)</f>
        <v>967.19455955304363</v>
      </c>
      <c r="F211" s="714">
        <f t="shared" si="14"/>
        <v>967.19455955304363</v>
      </c>
      <c r="G211" s="714">
        <f t="shared" si="12"/>
        <v>174384.82564401845</v>
      </c>
      <c r="H211" s="606"/>
      <c r="I211" s="606"/>
      <c r="J211" s="606"/>
      <c r="K211" s="606"/>
      <c r="L211" s="606"/>
      <c r="M211" s="606"/>
      <c r="N211" s="606"/>
      <c r="O211" s="606"/>
      <c r="P211" s="738"/>
      <c r="Q211" s="738"/>
      <c r="R211" s="738"/>
      <c r="S211" s="738"/>
      <c r="T211" s="606"/>
    </row>
    <row r="212" spans="1:20">
      <c r="A212" s="678" t="s">
        <v>48</v>
      </c>
      <c r="B212" s="1079" t="s">
        <v>49</v>
      </c>
      <c r="C212" s="1079"/>
      <c r="D212" s="1079"/>
      <c r="E212" s="1079"/>
      <c r="F212" s="1079"/>
      <c r="G212" s="1079"/>
      <c r="H212" s="1079"/>
      <c r="I212" s="1079"/>
      <c r="J212" s="1079"/>
      <c r="K212" s="1079"/>
      <c r="L212" s="1079"/>
      <c r="M212" s="1079"/>
      <c r="N212" s="1079"/>
      <c r="O212" s="1079"/>
      <c r="P212" s="1079"/>
      <c r="Q212" s="1079"/>
      <c r="R212" s="1079"/>
      <c r="S212" s="1079"/>
      <c r="T212" s="1080"/>
    </row>
    <row r="213" spans="1:20" ht="26.4">
      <c r="A213" s="715" t="s">
        <v>50</v>
      </c>
      <c r="B213" s="716" t="s">
        <v>49</v>
      </c>
      <c r="C213" s="716" t="s">
        <v>641</v>
      </c>
      <c r="D213" s="684">
        <f>SUM('[2]总投资-发采购-0411-GLP拆分场外费用(司调)'!G236,'[2]总投资-发采购-0411-GLP拆分场外费用(司调)'!G223)</f>
        <v>28051.084587734578</v>
      </c>
      <c r="E213" s="712">
        <f>D213/$A$3</f>
        <v>3945.3002233100669</v>
      </c>
      <c r="F213" s="712">
        <f t="shared" ref="F213:F241" si="15">E213</f>
        <v>3945.3002233100669</v>
      </c>
      <c r="G213" s="685">
        <f t="shared" ref="G213:G241" si="16">D213</f>
        <v>28051.084587734578</v>
      </c>
      <c r="H213" s="715" t="s">
        <v>543</v>
      </c>
      <c r="I213" s="715" t="s">
        <v>30</v>
      </c>
      <c r="J213" s="715">
        <v>18</v>
      </c>
      <c r="K213" s="697" t="s">
        <v>31</v>
      </c>
      <c r="L213" s="715" t="s">
        <v>730</v>
      </c>
      <c r="M213" s="715"/>
      <c r="N213" s="715"/>
      <c r="O213" s="715"/>
      <c r="P213" s="715">
        <v>2025.3</v>
      </c>
      <c r="Q213" s="715">
        <v>2025.4</v>
      </c>
      <c r="R213" s="698" t="s">
        <v>136</v>
      </c>
      <c r="S213" s="698" t="s">
        <v>137</v>
      </c>
      <c r="T213" s="709"/>
    </row>
    <row r="214" spans="1:20" hidden="1">
      <c r="A214" s="717">
        <v>3.2</v>
      </c>
      <c r="B214" s="717" t="s">
        <v>731</v>
      </c>
      <c r="C214" s="718"/>
      <c r="D214" s="719">
        <f>'[2]总投资-发采购-0411-GLP拆分场外费用(司调)'!G236</f>
        <v>8098.2373475978802</v>
      </c>
      <c r="E214" s="720">
        <f>D214/$A$3</f>
        <v>1138.992594598858</v>
      </c>
      <c r="F214" s="720">
        <f t="shared" si="15"/>
        <v>1138.992594598858</v>
      </c>
      <c r="G214" s="720">
        <f t="shared" si="16"/>
        <v>8098.2373475978802</v>
      </c>
      <c r="H214" s="606"/>
      <c r="I214" s="606"/>
      <c r="J214" s="606"/>
      <c r="K214" s="697"/>
      <c r="L214" s="606"/>
      <c r="M214" s="606"/>
      <c r="N214" s="606"/>
      <c r="O214" s="606"/>
      <c r="P214" s="715"/>
      <c r="Q214" s="715"/>
      <c r="R214" s="698"/>
      <c r="S214" s="698"/>
      <c r="T214" s="709"/>
    </row>
    <row r="215" spans="1:20" hidden="1">
      <c r="A215" s="721" t="s">
        <v>345</v>
      </c>
      <c r="B215" s="721" t="s">
        <v>677</v>
      </c>
      <c r="C215" s="722"/>
      <c r="D215" s="688">
        <f>'[2]总投资-发采购-0411-GLP拆分场外费用(司调)'!G237</f>
        <v>4284.5</v>
      </c>
      <c r="E215" s="689">
        <f t="shared" ref="E215:E241" si="17">D215/$A$3</f>
        <v>602.6019690576652</v>
      </c>
      <c r="F215" s="689">
        <f t="shared" si="15"/>
        <v>602.6019690576652</v>
      </c>
      <c r="G215" s="689">
        <f t="shared" si="16"/>
        <v>4284.5</v>
      </c>
      <c r="H215" s="606"/>
      <c r="I215" s="606"/>
      <c r="J215" s="606"/>
      <c r="K215" s="697"/>
      <c r="L215" s="606"/>
      <c r="M215" s="606"/>
      <c r="N215" s="606"/>
      <c r="O215" s="606"/>
      <c r="P215" s="715"/>
      <c r="Q215" s="715"/>
      <c r="R215" s="698"/>
      <c r="S215" s="698"/>
      <c r="T215" s="709"/>
    </row>
    <row r="216" spans="1:20" hidden="1">
      <c r="A216" s="721" t="s">
        <v>346</v>
      </c>
      <c r="B216" s="721" t="s">
        <v>678</v>
      </c>
      <c r="C216" s="722"/>
      <c r="D216" s="688">
        <f>'[2]总投资-发采购-0411-GLP拆分场外费用(司调)'!G238</f>
        <v>26.125</v>
      </c>
      <c r="E216" s="689">
        <f t="shared" si="17"/>
        <v>3.6744022503516174</v>
      </c>
      <c r="F216" s="689">
        <f t="shared" si="15"/>
        <v>3.6744022503516174</v>
      </c>
      <c r="G216" s="689">
        <f t="shared" si="16"/>
        <v>26.125</v>
      </c>
      <c r="H216" s="606"/>
      <c r="I216" s="606"/>
      <c r="J216" s="606"/>
      <c r="K216" s="697"/>
      <c r="L216" s="606"/>
      <c r="M216" s="606"/>
      <c r="N216" s="606"/>
      <c r="O216" s="606"/>
      <c r="P216" s="715"/>
      <c r="Q216" s="715"/>
      <c r="R216" s="698"/>
      <c r="S216" s="698"/>
      <c r="T216" s="709"/>
    </row>
    <row r="217" spans="1:20" hidden="1">
      <c r="A217" s="721" t="s">
        <v>347</v>
      </c>
      <c r="B217" s="721" t="s">
        <v>679</v>
      </c>
      <c r="C217" s="722"/>
      <c r="D217" s="688">
        <f>'[2]总投资-发采购-0411-GLP拆分场外费用(司调)'!G239</f>
        <v>151.52500000000001</v>
      </c>
      <c r="E217" s="689">
        <f t="shared" si="17"/>
        <v>21.31153305203938</v>
      </c>
      <c r="F217" s="689">
        <f t="shared" si="15"/>
        <v>21.31153305203938</v>
      </c>
      <c r="G217" s="689">
        <f t="shared" si="16"/>
        <v>151.52500000000001</v>
      </c>
      <c r="H217" s="606"/>
      <c r="I217" s="606"/>
      <c r="J217" s="606"/>
      <c r="K217" s="697"/>
      <c r="L217" s="606"/>
      <c r="M217" s="606"/>
      <c r="N217" s="606"/>
      <c r="O217" s="606"/>
      <c r="P217" s="715"/>
      <c r="Q217" s="715"/>
      <c r="R217" s="698"/>
      <c r="S217" s="698"/>
      <c r="T217" s="709"/>
    </row>
    <row r="218" spans="1:20" hidden="1">
      <c r="A218" s="721" t="s">
        <v>348</v>
      </c>
      <c r="B218" s="721" t="s">
        <v>680</v>
      </c>
      <c r="C218" s="722"/>
      <c r="D218" s="688">
        <f>'[2]总投资-发采购-0411-GLP拆分场外费用(司调)'!G240</f>
        <v>120.175</v>
      </c>
      <c r="E218" s="689">
        <f t="shared" si="17"/>
        <v>16.90225035161744</v>
      </c>
      <c r="F218" s="689">
        <f t="shared" si="15"/>
        <v>16.90225035161744</v>
      </c>
      <c r="G218" s="689">
        <f t="shared" si="16"/>
        <v>120.175</v>
      </c>
      <c r="H218" s="606"/>
      <c r="I218" s="606"/>
      <c r="J218" s="606"/>
      <c r="K218" s="697"/>
      <c r="L218" s="606"/>
      <c r="M218" s="606"/>
      <c r="N218" s="606"/>
      <c r="O218" s="606"/>
      <c r="P218" s="715"/>
      <c r="Q218" s="715"/>
      <c r="R218" s="698"/>
      <c r="S218" s="698"/>
      <c r="T218" s="709"/>
    </row>
    <row r="219" spans="1:20" hidden="1">
      <c r="A219" s="721" t="s">
        <v>349</v>
      </c>
      <c r="B219" s="721" t="s">
        <v>681</v>
      </c>
      <c r="C219" s="722"/>
      <c r="D219" s="688">
        <f>'[2]总投资-发采购-0411-GLP拆分场外费用(司调)'!G241</f>
        <v>146.30000000000001</v>
      </c>
      <c r="E219" s="689">
        <f t="shared" si="17"/>
        <v>20.576652601969059</v>
      </c>
      <c r="F219" s="689">
        <f t="shared" si="15"/>
        <v>20.576652601969059</v>
      </c>
      <c r="G219" s="689">
        <f t="shared" si="16"/>
        <v>146.30000000000001</v>
      </c>
      <c r="H219" s="606"/>
      <c r="I219" s="606"/>
      <c r="J219" s="606"/>
      <c r="K219" s="697"/>
      <c r="L219" s="606"/>
      <c r="M219" s="606"/>
      <c r="N219" s="606"/>
      <c r="O219" s="606"/>
      <c r="P219" s="715"/>
      <c r="Q219" s="715"/>
      <c r="R219" s="698"/>
      <c r="S219" s="698"/>
      <c r="T219" s="709"/>
    </row>
    <row r="220" spans="1:20" hidden="1">
      <c r="A220" s="721" t="s">
        <v>350</v>
      </c>
      <c r="B220" s="721" t="s">
        <v>682</v>
      </c>
      <c r="C220" s="722"/>
      <c r="D220" s="688">
        <f>'[2]总投资-发采购-0411-GLP拆分场外费用(司调)'!G242</f>
        <v>41.8</v>
      </c>
      <c r="E220" s="689">
        <f t="shared" si="17"/>
        <v>5.8790436005625875</v>
      </c>
      <c r="F220" s="689">
        <f t="shared" si="15"/>
        <v>5.8790436005625875</v>
      </c>
      <c r="G220" s="689">
        <f t="shared" si="16"/>
        <v>41.8</v>
      </c>
      <c r="H220" s="606"/>
      <c r="I220" s="606"/>
      <c r="J220" s="606"/>
      <c r="K220" s="697"/>
      <c r="L220" s="606"/>
      <c r="M220" s="606"/>
      <c r="N220" s="606"/>
      <c r="O220" s="606"/>
      <c r="P220" s="715"/>
      <c r="Q220" s="715"/>
      <c r="R220" s="698"/>
      <c r="S220" s="698"/>
      <c r="T220" s="709"/>
    </row>
    <row r="221" spans="1:20" hidden="1">
      <c r="A221" s="721" t="s">
        <v>351</v>
      </c>
      <c r="B221" s="721" t="s">
        <v>683</v>
      </c>
      <c r="C221" s="722"/>
      <c r="D221" s="688">
        <f>'[2]总投资-发采购-0411-GLP拆分场外费用(司调)'!G243</f>
        <v>209</v>
      </c>
      <c r="E221" s="689">
        <f t="shared" si="17"/>
        <v>29.395218002812939</v>
      </c>
      <c r="F221" s="689">
        <f t="shared" si="15"/>
        <v>29.395218002812939</v>
      </c>
      <c r="G221" s="689">
        <f t="shared" si="16"/>
        <v>209</v>
      </c>
      <c r="H221" s="606"/>
      <c r="I221" s="606"/>
      <c r="J221" s="606"/>
      <c r="K221" s="697"/>
      <c r="L221" s="606"/>
      <c r="M221" s="606"/>
      <c r="N221" s="606"/>
      <c r="O221" s="606"/>
      <c r="P221" s="715"/>
      <c r="Q221" s="715"/>
      <c r="R221" s="698"/>
      <c r="S221" s="698"/>
      <c r="T221" s="709"/>
    </row>
    <row r="222" spans="1:20" hidden="1">
      <c r="A222" s="721"/>
      <c r="B222" s="721" t="s">
        <v>684</v>
      </c>
      <c r="C222" s="722"/>
      <c r="D222" s="688">
        <f>'[2]总投资-发采购-0411-GLP拆分场外费用(司调)'!G244</f>
        <v>2754.81234759788</v>
      </c>
      <c r="E222" s="689">
        <f t="shared" si="17"/>
        <v>387.45602638507455</v>
      </c>
      <c r="F222" s="689">
        <f t="shared" si="15"/>
        <v>387.45602638507455</v>
      </c>
      <c r="G222" s="689">
        <f t="shared" si="16"/>
        <v>2754.81234759788</v>
      </c>
      <c r="H222" s="606"/>
      <c r="I222" s="606"/>
      <c r="J222" s="606"/>
      <c r="K222" s="697"/>
      <c r="L222" s="606"/>
      <c r="M222" s="606"/>
      <c r="N222" s="606"/>
      <c r="O222" s="606"/>
      <c r="P222" s="715"/>
      <c r="Q222" s="715"/>
      <c r="R222" s="698"/>
      <c r="S222" s="698"/>
      <c r="T222" s="709"/>
    </row>
    <row r="223" spans="1:20" hidden="1">
      <c r="A223" s="721" t="s">
        <v>352</v>
      </c>
      <c r="B223" s="721" t="s">
        <v>685</v>
      </c>
      <c r="C223" s="722"/>
      <c r="D223" s="688">
        <f>'[2]总投资-发采购-0411-GLP拆分场外费用(司调)'!G245</f>
        <v>364</v>
      </c>
      <c r="E223" s="689">
        <f t="shared" si="17"/>
        <v>51.195499296765121</v>
      </c>
      <c r="F223" s="689">
        <f t="shared" si="15"/>
        <v>51.195499296765121</v>
      </c>
      <c r="G223" s="689">
        <f t="shared" si="16"/>
        <v>364</v>
      </c>
      <c r="H223" s="606"/>
      <c r="I223" s="606"/>
      <c r="J223" s="606"/>
      <c r="K223" s="697"/>
      <c r="L223" s="606"/>
      <c r="M223" s="606"/>
      <c r="N223" s="606"/>
      <c r="O223" s="606"/>
      <c r="P223" s="715"/>
      <c r="Q223" s="715"/>
      <c r="R223" s="698"/>
      <c r="S223" s="698"/>
      <c r="T223" s="709"/>
    </row>
    <row r="224" spans="1:20" hidden="1">
      <c r="A224" s="721"/>
      <c r="B224" s="721" t="s">
        <v>732</v>
      </c>
      <c r="C224" s="722"/>
      <c r="D224" s="688">
        <f>'[2]总投资-发采购-0411-GLP拆分场外费用(司调)'!G246</f>
        <v>289</v>
      </c>
      <c r="E224" s="689">
        <f t="shared" si="17"/>
        <v>40.646976090014064</v>
      </c>
      <c r="F224" s="689">
        <f t="shared" si="15"/>
        <v>40.646976090014064</v>
      </c>
      <c r="G224" s="689">
        <f t="shared" si="16"/>
        <v>289</v>
      </c>
      <c r="H224" s="606"/>
      <c r="I224" s="606"/>
      <c r="J224" s="606"/>
      <c r="K224" s="697"/>
      <c r="L224" s="606"/>
      <c r="M224" s="606"/>
      <c r="N224" s="606"/>
      <c r="O224" s="606"/>
      <c r="P224" s="715"/>
      <c r="Q224" s="715"/>
      <c r="R224" s="698"/>
      <c r="S224" s="698"/>
      <c r="T224" s="709"/>
    </row>
    <row r="225" spans="1:20" hidden="1">
      <c r="A225" s="721"/>
      <c r="B225" s="721" t="s">
        <v>686</v>
      </c>
      <c r="C225" s="722"/>
      <c r="D225" s="688">
        <f>'[2]总投资-发采购-0411-GLP拆分场外费用(司调)'!G247</f>
        <v>4</v>
      </c>
      <c r="E225" s="689">
        <f t="shared" si="17"/>
        <v>0.56258790436005623</v>
      </c>
      <c r="F225" s="689">
        <f t="shared" si="15"/>
        <v>0.56258790436005623</v>
      </c>
      <c r="G225" s="689">
        <f t="shared" si="16"/>
        <v>4</v>
      </c>
      <c r="H225" s="606"/>
      <c r="I225" s="606"/>
      <c r="J225" s="606"/>
      <c r="K225" s="697"/>
      <c r="L225" s="606"/>
      <c r="M225" s="606"/>
      <c r="N225" s="606"/>
      <c r="O225" s="606"/>
      <c r="P225" s="715"/>
      <c r="Q225" s="715"/>
      <c r="R225" s="698"/>
      <c r="S225" s="698"/>
      <c r="T225" s="709"/>
    </row>
    <row r="226" spans="1:20" hidden="1">
      <c r="A226" s="721"/>
      <c r="B226" s="721" t="s">
        <v>687</v>
      </c>
      <c r="C226" s="722"/>
      <c r="D226" s="688">
        <f>'[2]总投资-发采购-0411-GLP拆分场外费用(司调)'!G248</f>
        <v>4</v>
      </c>
      <c r="E226" s="689">
        <f t="shared" si="17"/>
        <v>0.56258790436005623</v>
      </c>
      <c r="F226" s="689">
        <f t="shared" si="15"/>
        <v>0.56258790436005623</v>
      </c>
      <c r="G226" s="689">
        <f t="shared" si="16"/>
        <v>4</v>
      </c>
      <c r="H226" s="606"/>
      <c r="I226" s="606"/>
      <c r="J226" s="606"/>
      <c r="K226" s="697"/>
      <c r="L226" s="606"/>
      <c r="M226" s="606"/>
      <c r="N226" s="606"/>
      <c r="O226" s="606"/>
      <c r="P226" s="715"/>
      <c r="Q226" s="715"/>
      <c r="R226" s="698"/>
      <c r="S226" s="698"/>
      <c r="T226" s="709"/>
    </row>
    <row r="227" spans="1:20" hidden="1">
      <c r="A227" s="721"/>
      <c r="B227" s="721" t="s">
        <v>688</v>
      </c>
      <c r="C227" s="722"/>
      <c r="D227" s="688">
        <f>'[2]总投资-发采购-0411-GLP拆分场外费用(司调)'!G249</f>
        <v>32</v>
      </c>
      <c r="E227" s="689">
        <f t="shared" si="17"/>
        <v>4.5007032348804499</v>
      </c>
      <c r="F227" s="689">
        <f t="shared" si="15"/>
        <v>4.5007032348804499</v>
      </c>
      <c r="G227" s="689">
        <f t="shared" si="16"/>
        <v>32</v>
      </c>
      <c r="H227" s="606"/>
      <c r="I227" s="606"/>
      <c r="J227" s="606"/>
      <c r="K227" s="697"/>
      <c r="L227" s="606"/>
      <c r="M227" s="606"/>
      <c r="N227" s="606"/>
      <c r="O227" s="606"/>
      <c r="P227" s="715"/>
      <c r="Q227" s="715"/>
      <c r="R227" s="698"/>
      <c r="S227" s="698"/>
      <c r="T227" s="709"/>
    </row>
    <row r="228" spans="1:20" hidden="1">
      <c r="A228" s="721"/>
      <c r="B228" s="721" t="s">
        <v>733</v>
      </c>
      <c r="C228" s="722"/>
      <c r="D228" s="688">
        <f>'[2]总投资-发采购-0411-GLP拆分场外费用(司调)'!G250</f>
        <v>35</v>
      </c>
      <c r="E228" s="689">
        <f t="shared" si="17"/>
        <v>4.9226441631504922</v>
      </c>
      <c r="F228" s="689">
        <f t="shared" si="15"/>
        <v>4.9226441631504922</v>
      </c>
      <c r="G228" s="689">
        <f t="shared" si="16"/>
        <v>35</v>
      </c>
      <c r="H228" s="606"/>
      <c r="I228" s="606"/>
      <c r="J228" s="606"/>
      <c r="K228" s="697"/>
      <c r="L228" s="606"/>
      <c r="M228" s="606"/>
      <c r="N228" s="606"/>
      <c r="O228" s="606"/>
      <c r="P228" s="715"/>
      <c r="Q228" s="715"/>
      <c r="R228" s="698"/>
      <c r="S228" s="698"/>
      <c r="T228" s="709"/>
    </row>
    <row r="229" spans="1:20" hidden="1">
      <c r="A229" s="717">
        <v>3.1</v>
      </c>
      <c r="B229" s="717" t="s">
        <v>734</v>
      </c>
      <c r="C229" s="718"/>
      <c r="D229" s="719">
        <f>'[2]总投资-发采购-0411-GLP拆分场外费用(司调)'!G223</f>
        <v>19952.8472401367</v>
      </c>
      <c r="E229" s="720">
        <f t="shared" si="17"/>
        <v>2806.3076287112094</v>
      </c>
      <c r="F229" s="720">
        <f t="shared" si="15"/>
        <v>2806.3076287112094</v>
      </c>
      <c r="G229" s="720">
        <f t="shared" si="16"/>
        <v>19952.8472401367</v>
      </c>
      <c r="H229" s="606"/>
      <c r="I229" s="606"/>
      <c r="J229" s="606"/>
      <c r="K229" s="697"/>
      <c r="L229" s="606"/>
      <c r="M229" s="606"/>
      <c r="N229" s="606"/>
      <c r="O229" s="606"/>
      <c r="P229" s="715"/>
      <c r="Q229" s="715"/>
      <c r="R229" s="698"/>
      <c r="S229" s="698"/>
      <c r="T229" s="709"/>
    </row>
    <row r="230" spans="1:20" hidden="1">
      <c r="A230" s="721" t="s">
        <v>356</v>
      </c>
      <c r="B230" s="721" t="s">
        <v>677</v>
      </c>
      <c r="C230" s="722"/>
      <c r="D230" s="688">
        <f>'[2]总投资-发采购-0411-GLP拆分场外费用(司调)'!G224</f>
        <v>14787.06</v>
      </c>
      <c r="E230" s="689">
        <f t="shared" si="17"/>
        <v>2079.7552742616031</v>
      </c>
      <c r="F230" s="689">
        <f t="shared" si="15"/>
        <v>2079.7552742616031</v>
      </c>
      <c r="G230" s="689">
        <f t="shared" si="16"/>
        <v>14787.06</v>
      </c>
      <c r="H230" s="606"/>
      <c r="I230" s="606"/>
      <c r="J230" s="606"/>
      <c r="K230" s="697"/>
      <c r="L230" s="606"/>
      <c r="M230" s="606"/>
      <c r="N230" s="606"/>
      <c r="O230" s="606"/>
      <c r="P230" s="715"/>
      <c r="Q230" s="715"/>
      <c r="R230" s="698"/>
      <c r="S230" s="698"/>
      <c r="T230" s="709"/>
    </row>
    <row r="231" spans="1:20" hidden="1">
      <c r="A231" s="721" t="s">
        <v>357</v>
      </c>
      <c r="B231" s="721" t="s">
        <v>678</v>
      </c>
      <c r="C231" s="722"/>
      <c r="D231" s="688">
        <f>'[2]总投资-发采购-0411-GLP拆分场外费用(司调)'!G225</f>
        <v>98.580399999999997</v>
      </c>
      <c r="E231" s="689">
        <f t="shared" si="17"/>
        <v>13.865035161744022</v>
      </c>
      <c r="F231" s="689">
        <f t="shared" si="15"/>
        <v>13.865035161744022</v>
      </c>
      <c r="G231" s="689">
        <f t="shared" si="16"/>
        <v>98.580399999999997</v>
      </c>
      <c r="H231" s="606"/>
      <c r="I231" s="606"/>
      <c r="J231" s="606"/>
      <c r="K231" s="697"/>
      <c r="L231" s="606"/>
      <c r="M231" s="606"/>
      <c r="N231" s="606"/>
      <c r="O231" s="606"/>
      <c r="P231" s="715"/>
      <c r="Q231" s="715"/>
      <c r="R231" s="698"/>
      <c r="S231" s="698"/>
      <c r="T231" s="709"/>
    </row>
    <row r="232" spans="1:20" hidden="1">
      <c r="A232" s="721" t="s">
        <v>358</v>
      </c>
      <c r="B232" s="721" t="s">
        <v>679</v>
      </c>
      <c r="C232" s="722"/>
      <c r="D232" s="688">
        <f>'[2]总投资-发采购-0411-GLP拆分场外费用(司调)'!G226</f>
        <v>571.76631999999995</v>
      </c>
      <c r="E232" s="689">
        <f t="shared" si="17"/>
        <v>80.417203938115321</v>
      </c>
      <c r="F232" s="689">
        <f t="shared" si="15"/>
        <v>80.417203938115321</v>
      </c>
      <c r="G232" s="689">
        <f t="shared" si="16"/>
        <v>571.76631999999995</v>
      </c>
      <c r="H232" s="606"/>
      <c r="I232" s="606"/>
      <c r="J232" s="606"/>
      <c r="K232" s="697"/>
      <c r="L232" s="606"/>
      <c r="M232" s="606"/>
      <c r="N232" s="606"/>
      <c r="O232" s="606"/>
      <c r="P232" s="715"/>
      <c r="Q232" s="715"/>
      <c r="R232" s="698"/>
      <c r="S232" s="698"/>
      <c r="T232" s="709"/>
    </row>
    <row r="233" spans="1:20" hidden="1">
      <c r="A233" s="721" t="s">
        <v>359</v>
      </c>
      <c r="B233" s="721" t="s">
        <v>680</v>
      </c>
      <c r="C233" s="722"/>
      <c r="D233" s="688">
        <f>'[2]总投资-发采购-0411-GLP拆分场外费用(司调)'!G227</f>
        <v>453.46983999999998</v>
      </c>
      <c r="E233" s="689">
        <f t="shared" si="17"/>
        <v>63.779161744022495</v>
      </c>
      <c r="F233" s="689">
        <f t="shared" si="15"/>
        <v>63.779161744022495</v>
      </c>
      <c r="G233" s="689">
        <f t="shared" si="16"/>
        <v>453.46983999999998</v>
      </c>
      <c r="H233" s="606"/>
      <c r="I233" s="606"/>
      <c r="J233" s="606"/>
      <c r="K233" s="697"/>
      <c r="L233" s="606"/>
      <c r="M233" s="606"/>
      <c r="N233" s="606"/>
      <c r="O233" s="606"/>
      <c r="P233" s="715"/>
      <c r="Q233" s="715"/>
      <c r="R233" s="698"/>
      <c r="S233" s="698"/>
      <c r="T233" s="709"/>
    </row>
    <row r="234" spans="1:20" hidden="1">
      <c r="A234" s="721" t="s">
        <v>360</v>
      </c>
      <c r="B234" s="721" t="s">
        <v>681</v>
      </c>
      <c r="C234" s="722"/>
      <c r="D234" s="688">
        <f>'[2]总投资-发采购-0411-GLP拆分场外费用(司调)'!G228</f>
        <v>552.05024000000003</v>
      </c>
      <c r="E234" s="689">
        <f t="shared" si="17"/>
        <v>77.64419690576652</v>
      </c>
      <c r="F234" s="689">
        <f t="shared" si="15"/>
        <v>77.64419690576652</v>
      </c>
      <c r="G234" s="689">
        <f t="shared" si="16"/>
        <v>552.05024000000003</v>
      </c>
      <c r="H234" s="715"/>
      <c r="I234" s="715"/>
      <c r="J234" s="715"/>
      <c r="K234" s="697"/>
      <c r="L234" s="715"/>
      <c r="M234" s="715"/>
      <c r="N234" s="715"/>
      <c r="O234" s="715"/>
      <c r="P234" s="715"/>
      <c r="Q234" s="715"/>
      <c r="R234" s="698"/>
      <c r="S234" s="742"/>
      <c r="T234" s="709"/>
    </row>
    <row r="235" spans="1:20" hidden="1">
      <c r="A235" s="721" t="s">
        <v>361</v>
      </c>
      <c r="B235" s="721" t="s">
        <v>682</v>
      </c>
      <c r="C235" s="722"/>
      <c r="D235" s="688">
        <f>'[2]总投资-发采购-0411-GLP拆分场外费用(司调)'!G229</f>
        <v>157.72864000000001</v>
      </c>
      <c r="E235" s="689">
        <f t="shared" si="17"/>
        <v>22.184056258790438</v>
      </c>
      <c r="F235" s="689">
        <f t="shared" si="15"/>
        <v>22.184056258790438</v>
      </c>
      <c r="G235" s="689">
        <f t="shared" si="16"/>
        <v>157.72864000000001</v>
      </c>
      <c r="H235" s="606"/>
      <c r="I235" s="606"/>
      <c r="J235" s="606"/>
      <c r="K235" s="697"/>
      <c r="L235" s="606"/>
      <c r="M235" s="606"/>
      <c r="N235" s="606"/>
      <c r="O235" s="606"/>
      <c r="P235" s="715"/>
      <c r="Q235" s="715"/>
      <c r="R235" s="698"/>
      <c r="S235" s="698"/>
      <c r="T235" s="709"/>
    </row>
    <row r="236" spans="1:20" hidden="1">
      <c r="A236" s="721" t="s">
        <v>362</v>
      </c>
      <c r="B236" s="721" t="s">
        <v>683</v>
      </c>
      <c r="C236" s="722"/>
      <c r="D236" s="688">
        <f>'[2]总投资-发采购-0411-GLP拆分场外费用(司调)'!G230</f>
        <v>788.64319999999998</v>
      </c>
      <c r="E236" s="689">
        <f t="shared" si="17"/>
        <v>110.92028129395217</v>
      </c>
      <c r="F236" s="689">
        <f t="shared" si="15"/>
        <v>110.92028129395217</v>
      </c>
      <c r="G236" s="689">
        <f t="shared" si="16"/>
        <v>788.64319999999998</v>
      </c>
      <c r="H236" s="606"/>
      <c r="I236" s="606"/>
      <c r="J236" s="606"/>
      <c r="K236" s="697"/>
      <c r="L236" s="606"/>
      <c r="M236" s="606"/>
      <c r="N236" s="606"/>
      <c r="O236" s="606"/>
      <c r="P236" s="715"/>
      <c r="Q236" s="715"/>
      <c r="R236" s="698"/>
      <c r="S236" s="698"/>
      <c r="T236" s="709"/>
    </row>
    <row r="237" spans="1:20" hidden="1">
      <c r="A237" s="721"/>
      <c r="B237" s="721" t="s">
        <v>684</v>
      </c>
      <c r="C237" s="722"/>
      <c r="D237" s="688">
        <f>'[2]总投资-发采购-0411-GLP拆分场外费用(司调)'!G231</f>
        <v>2458.5486001366498</v>
      </c>
      <c r="E237" s="689">
        <f t="shared" si="17"/>
        <v>345.78742617955692</v>
      </c>
      <c r="F237" s="689">
        <f t="shared" si="15"/>
        <v>345.78742617955692</v>
      </c>
      <c r="G237" s="689">
        <f t="shared" si="16"/>
        <v>2458.5486001366498</v>
      </c>
      <c r="H237" s="606"/>
      <c r="I237" s="606"/>
      <c r="J237" s="606"/>
      <c r="K237" s="697"/>
      <c r="L237" s="606"/>
      <c r="M237" s="606"/>
      <c r="N237" s="606"/>
      <c r="O237" s="606"/>
      <c r="P237" s="715"/>
      <c r="Q237" s="715"/>
      <c r="R237" s="698"/>
      <c r="S237" s="698"/>
      <c r="T237" s="709"/>
    </row>
    <row r="238" spans="1:20" hidden="1">
      <c r="A238" s="721" t="s">
        <v>363</v>
      </c>
      <c r="B238" s="721" t="s">
        <v>685</v>
      </c>
      <c r="C238" s="722"/>
      <c r="D238" s="688">
        <f>'[2]总投资-发采购-0411-GLP拆分场外费用(司调)'!G232</f>
        <v>85</v>
      </c>
      <c r="E238" s="689">
        <f t="shared" si="17"/>
        <v>11.954992967651195</v>
      </c>
      <c r="F238" s="689">
        <f t="shared" si="15"/>
        <v>11.954992967651195</v>
      </c>
      <c r="G238" s="689">
        <f t="shared" si="16"/>
        <v>85</v>
      </c>
      <c r="H238" s="606"/>
      <c r="I238" s="606"/>
      <c r="J238" s="606"/>
      <c r="K238" s="697"/>
      <c r="L238" s="606"/>
      <c r="M238" s="606"/>
      <c r="N238" s="606"/>
      <c r="O238" s="606"/>
      <c r="P238" s="715"/>
      <c r="Q238" s="715"/>
      <c r="R238" s="698"/>
      <c r="S238" s="698"/>
      <c r="T238" s="709"/>
    </row>
    <row r="239" spans="1:20" hidden="1">
      <c r="A239" s="721"/>
      <c r="B239" s="721" t="s">
        <v>686</v>
      </c>
      <c r="C239" s="722"/>
      <c r="D239" s="688">
        <f>'[2]总投资-发采购-0411-GLP拆分场外费用(司调)'!G233</f>
        <v>4</v>
      </c>
      <c r="E239" s="689">
        <f t="shared" si="17"/>
        <v>0.56258790436005623</v>
      </c>
      <c r="F239" s="689">
        <f t="shared" si="15"/>
        <v>0.56258790436005623</v>
      </c>
      <c r="G239" s="689">
        <f t="shared" si="16"/>
        <v>4</v>
      </c>
      <c r="H239" s="606"/>
      <c r="I239" s="606"/>
      <c r="J239" s="606"/>
      <c r="K239" s="697"/>
      <c r="L239" s="606"/>
      <c r="M239" s="606"/>
      <c r="N239" s="606"/>
      <c r="O239" s="606"/>
      <c r="P239" s="715"/>
      <c r="Q239" s="715"/>
      <c r="R239" s="698"/>
      <c r="S239" s="698"/>
      <c r="T239" s="709"/>
    </row>
    <row r="240" spans="1:20" hidden="1">
      <c r="A240" s="721"/>
      <c r="B240" s="721" t="s">
        <v>687</v>
      </c>
      <c r="C240" s="722"/>
      <c r="D240" s="688">
        <f>'[2]总投资-发采购-0411-GLP拆分场外费用(司调)'!G234</f>
        <v>15</v>
      </c>
      <c r="E240" s="689">
        <f t="shared" si="17"/>
        <v>2.109704641350211</v>
      </c>
      <c r="F240" s="689">
        <f t="shared" si="15"/>
        <v>2.109704641350211</v>
      </c>
      <c r="G240" s="689">
        <f t="shared" si="16"/>
        <v>15</v>
      </c>
      <c r="H240" s="606"/>
      <c r="I240" s="606"/>
      <c r="J240" s="606"/>
      <c r="K240" s="697"/>
      <c r="L240" s="606"/>
      <c r="M240" s="606"/>
      <c r="N240" s="606"/>
      <c r="O240" s="606"/>
      <c r="P240" s="715"/>
      <c r="Q240" s="715"/>
      <c r="R240" s="698"/>
      <c r="S240" s="698"/>
      <c r="T240" s="709"/>
    </row>
    <row r="241" spans="1:20" hidden="1">
      <c r="A241" s="721"/>
      <c r="B241" s="721" t="s">
        <v>688</v>
      </c>
      <c r="C241" s="722"/>
      <c r="D241" s="688">
        <f>'[2]总投资-发采购-0411-GLP拆分场外费用(司调)'!G235</f>
        <v>66</v>
      </c>
      <c r="E241" s="689">
        <f t="shared" si="17"/>
        <v>9.2827004219409286</v>
      </c>
      <c r="F241" s="689">
        <f t="shared" si="15"/>
        <v>9.2827004219409286</v>
      </c>
      <c r="G241" s="689">
        <f t="shared" si="16"/>
        <v>66</v>
      </c>
      <c r="H241" s="606"/>
      <c r="I241" s="606"/>
      <c r="J241" s="606"/>
      <c r="K241" s="697"/>
      <c r="L241" s="606"/>
      <c r="M241" s="606"/>
      <c r="N241" s="606"/>
      <c r="O241" s="606"/>
      <c r="P241" s="715"/>
      <c r="Q241" s="715"/>
      <c r="R241" s="698"/>
      <c r="S241" s="698"/>
      <c r="T241" s="709"/>
    </row>
    <row r="242" spans="1:20">
      <c r="A242" s="1075" t="s">
        <v>104</v>
      </c>
      <c r="B242" s="1076"/>
      <c r="C242" s="1077"/>
      <c r="D242" s="713">
        <f>SUM(D213)</f>
        <v>28051.084587734578</v>
      </c>
      <c r="E242" s="713">
        <f t="shared" ref="E242:G242" si="18">SUM(E213)</f>
        <v>3945.3002233100669</v>
      </c>
      <c r="F242" s="713">
        <f t="shared" si="18"/>
        <v>3945.3002233100669</v>
      </c>
      <c r="G242" s="713">
        <f t="shared" si="18"/>
        <v>28051.084587734578</v>
      </c>
      <c r="H242" s="606"/>
      <c r="I242" s="606"/>
      <c r="J242" s="606"/>
      <c r="K242" s="606"/>
      <c r="L242" s="606"/>
      <c r="M242" s="606"/>
      <c r="N242" s="606"/>
      <c r="O242" s="606"/>
      <c r="P242" s="606"/>
      <c r="Q242" s="606"/>
      <c r="R242" s="738"/>
      <c r="S242" s="606"/>
      <c r="T242" s="606"/>
    </row>
    <row r="243" spans="1:20">
      <c r="A243" s="678" t="s">
        <v>56</v>
      </c>
      <c r="B243" s="723" t="s">
        <v>57</v>
      </c>
      <c r="C243" s="723"/>
      <c r="D243" s="724"/>
      <c r="E243" s="725"/>
      <c r="F243" s="724"/>
      <c r="G243" s="724"/>
      <c r="H243" s="726"/>
      <c r="I243" s="726"/>
      <c r="J243" s="726"/>
      <c r="K243" s="726"/>
      <c r="L243" s="726"/>
      <c r="M243" s="726"/>
      <c r="N243" s="726"/>
      <c r="O243" s="726"/>
      <c r="P243" s="726"/>
      <c r="Q243" s="726"/>
      <c r="R243" s="743"/>
      <c r="S243" s="744"/>
      <c r="T243" s="706"/>
    </row>
    <row r="244" spans="1:20" ht="66">
      <c r="A244" s="727" t="s">
        <v>366</v>
      </c>
      <c r="B244" s="728" t="s">
        <v>793</v>
      </c>
      <c r="C244" s="728" t="s">
        <v>643</v>
      </c>
      <c r="D244" s="729">
        <f>SUM('[2]总投资-发采购-0411-GLP拆分场外费用(司调)'!G303,'[2]总投资-发采购-0411-GLP拆分场外费用(司调)'!G307,'[2]总投资-发采购-0411-GLP拆分场外费用(司调)'!G311,'[2]总投资-发采购-0411-GLP拆分场外费用(司调)'!G313,'[2]总投资-发采购-0411-GLP拆分场外费用(司调)'!G315,'[2]总投资-发采购-0411-GLP拆分场外费用(司调)'!G317)</f>
        <v>20312.849999999999</v>
      </c>
      <c r="E244" s="730">
        <f>D244/$A$3</f>
        <v>2856.9409282700417</v>
      </c>
      <c r="F244" s="730">
        <f t="shared" ref="F244:F308" si="19">E244</f>
        <v>2856.9409282700417</v>
      </c>
      <c r="G244" s="730">
        <f>D244</f>
        <v>20312.849999999999</v>
      </c>
      <c r="H244" s="727" t="s">
        <v>543</v>
      </c>
      <c r="I244" s="727" t="s">
        <v>30</v>
      </c>
      <c r="J244" s="727">
        <v>12</v>
      </c>
      <c r="K244" s="739" t="s">
        <v>31</v>
      </c>
      <c r="L244" s="727" t="s">
        <v>135</v>
      </c>
      <c r="M244" s="727" t="s">
        <v>794</v>
      </c>
      <c r="N244" s="727"/>
      <c r="O244" s="727"/>
      <c r="P244" s="740" t="s">
        <v>737</v>
      </c>
      <c r="Q244" s="740" t="s">
        <v>738</v>
      </c>
      <c r="R244" s="740" t="s">
        <v>739</v>
      </c>
      <c r="S244" s="740" t="s">
        <v>740</v>
      </c>
      <c r="T244" s="739" t="s">
        <v>646</v>
      </c>
    </row>
    <row r="245" spans="1:20" hidden="1">
      <c r="A245" s="731">
        <v>6</v>
      </c>
      <c r="B245" s="732" t="s">
        <v>370</v>
      </c>
      <c r="C245" s="733"/>
      <c r="D245" s="734">
        <f>'[2]总投资-发采购-0411-GLP拆分场外费用(司调)'!G303</f>
        <v>2688.05</v>
      </c>
      <c r="E245" s="735">
        <f>D245/$A$3</f>
        <v>378.06610407876229</v>
      </c>
      <c r="F245" s="735">
        <f>D245/$A$3</f>
        <v>378.06610407876229</v>
      </c>
      <c r="G245" s="735">
        <f>D245</f>
        <v>2688.05</v>
      </c>
      <c r="H245" s="736"/>
      <c r="I245" s="736"/>
      <c r="J245" s="736"/>
      <c r="K245" s="739" t="s">
        <v>224</v>
      </c>
      <c r="L245" s="736"/>
      <c r="M245" s="727" t="s">
        <v>794</v>
      </c>
      <c r="N245" s="736"/>
      <c r="O245" s="736"/>
      <c r="P245" s="741"/>
      <c r="Q245" s="740"/>
      <c r="R245" s="740"/>
      <c r="S245" s="740"/>
      <c r="T245" s="739"/>
    </row>
    <row r="246" spans="1:20" hidden="1">
      <c r="A246" s="737" t="s">
        <v>371</v>
      </c>
      <c r="B246" s="732" t="s">
        <v>742</v>
      </c>
      <c r="C246" s="732"/>
      <c r="D246" s="734">
        <f>'[2]总投资-发采购-0411-GLP拆分场外费用(司调)'!G304</f>
        <v>399.45</v>
      </c>
      <c r="E246" s="735">
        <f t="shared" ref="E246:E264" si="20">D246/$A$3</f>
        <v>56.181434599156113</v>
      </c>
      <c r="F246" s="735">
        <f t="shared" ref="F246:F261" si="21">D246/$A$3</f>
        <v>56.181434599156113</v>
      </c>
      <c r="G246" s="735">
        <f t="shared" ref="G246:G262" si="22">D246</f>
        <v>399.45</v>
      </c>
      <c r="H246" s="736"/>
      <c r="I246" s="736"/>
      <c r="J246" s="736"/>
      <c r="K246" s="739" t="s">
        <v>224</v>
      </c>
      <c r="L246" s="736"/>
      <c r="M246" s="727" t="s">
        <v>794</v>
      </c>
      <c r="N246" s="736"/>
      <c r="O246" s="736"/>
      <c r="P246" s="741"/>
      <c r="Q246" s="740"/>
      <c r="R246" s="740"/>
      <c r="S246" s="740"/>
      <c r="T246" s="739"/>
    </row>
    <row r="247" spans="1:20" hidden="1">
      <c r="A247" s="737" t="s">
        <v>373</v>
      </c>
      <c r="B247" s="732" t="s">
        <v>743</v>
      </c>
      <c r="C247" s="732"/>
      <c r="D247" s="734">
        <f>'[2]总投资-发采购-0411-GLP拆分场外费用(司调)'!G305</f>
        <v>2145.6</v>
      </c>
      <c r="E247" s="735">
        <f t="shared" si="20"/>
        <v>301.77215189873414</v>
      </c>
      <c r="F247" s="735">
        <f t="shared" si="21"/>
        <v>301.77215189873414</v>
      </c>
      <c r="G247" s="735">
        <f t="shared" si="22"/>
        <v>2145.6</v>
      </c>
      <c r="H247" s="736"/>
      <c r="I247" s="736"/>
      <c r="J247" s="736"/>
      <c r="K247" s="739" t="s">
        <v>224</v>
      </c>
      <c r="L247" s="736"/>
      <c r="M247" s="727" t="s">
        <v>794</v>
      </c>
      <c r="N247" s="736"/>
      <c r="O247" s="736"/>
      <c r="P247" s="741"/>
      <c r="Q247" s="740"/>
      <c r="R247" s="740"/>
      <c r="S247" s="740"/>
      <c r="T247" s="739"/>
    </row>
    <row r="248" spans="1:20" hidden="1">
      <c r="A248" s="737" t="s">
        <v>375</v>
      </c>
      <c r="B248" s="732" t="s">
        <v>744</v>
      </c>
      <c r="C248" s="732"/>
      <c r="D248" s="734">
        <f>'[2]总投资-发采购-0411-GLP拆分场外费用(司调)'!G306</f>
        <v>143</v>
      </c>
      <c r="E248" s="735">
        <f t="shared" si="20"/>
        <v>20.112517580872009</v>
      </c>
      <c r="F248" s="735">
        <f t="shared" si="21"/>
        <v>20.112517580872009</v>
      </c>
      <c r="G248" s="735">
        <f t="shared" si="22"/>
        <v>143</v>
      </c>
      <c r="H248" s="736"/>
      <c r="I248" s="736"/>
      <c r="J248" s="736"/>
      <c r="K248" s="739" t="s">
        <v>224</v>
      </c>
      <c r="L248" s="736"/>
      <c r="M248" s="727" t="s">
        <v>794</v>
      </c>
      <c r="N248" s="736"/>
      <c r="O248" s="736"/>
      <c r="P248" s="741"/>
      <c r="Q248" s="740"/>
      <c r="R248" s="740"/>
      <c r="S248" s="740"/>
      <c r="T248" s="739"/>
    </row>
    <row r="249" spans="1:20" hidden="1">
      <c r="A249" s="737" t="s">
        <v>377</v>
      </c>
      <c r="B249" s="732" t="s">
        <v>745</v>
      </c>
      <c r="C249" s="732"/>
      <c r="D249" s="734">
        <f>'[2]总投资-发采购-0411-GLP拆分场外费用(司调)'!G307</f>
        <v>6521.05</v>
      </c>
      <c r="E249" s="735">
        <f t="shared" si="20"/>
        <v>917.16596343178617</v>
      </c>
      <c r="F249" s="735">
        <f t="shared" si="21"/>
        <v>917.16596343178617</v>
      </c>
      <c r="G249" s="735">
        <f t="shared" si="22"/>
        <v>6521.05</v>
      </c>
      <c r="H249" s="736"/>
      <c r="I249" s="736"/>
      <c r="J249" s="736"/>
      <c r="K249" s="739" t="s">
        <v>224</v>
      </c>
      <c r="L249" s="736"/>
      <c r="M249" s="727" t="s">
        <v>794</v>
      </c>
      <c r="N249" s="736"/>
      <c r="O249" s="736"/>
      <c r="P249" s="741"/>
      <c r="Q249" s="740"/>
      <c r="R249" s="740"/>
      <c r="S249" s="740"/>
      <c r="T249" s="739"/>
    </row>
    <row r="250" spans="1:20" hidden="1">
      <c r="A250" s="737">
        <v>6.2</v>
      </c>
      <c r="B250" s="732" t="s">
        <v>746</v>
      </c>
      <c r="C250" s="732"/>
      <c r="D250" s="734">
        <f>'[2]总投资-发采购-0411-GLP拆分场外费用(司调)'!G307</f>
        <v>6521.05</v>
      </c>
      <c r="E250" s="735">
        <f t="shared" si="20"/>
        <v>917.16596343178617</v>
      </c>
      <c r="F250" s="735">
        <f t="shared" si="21"/>
        <v>917.16596343178617</v>
      </c>
      <c r="G250" s="735">
        <f t="shared" si="22"/>
        <v>6521.05</v>
      </c>
      <c r="H250" s="736"/>
      <c r="I250" s="736"/>
      <c r="J250" s="736"/>
      <c r="K250" s="739" t="s">
        <v>224</v>
      </c>
      <c r="L250" s="736"/>
      <c r="M250" s="727" t="s">
        <v>794</v>
      </c>
      <c r="N250" s="736"/>
      <c r="O250" s="736"/>
      <c r="P250" s="741"/>
      <c r="Q250" s="740"/>
      <c r="R250" s="740"/>
      <c r="S250" s="740"/>
      <c r="T250" s="739"/>
    </row>
    <row r="251" spans="1:20" hidden="1">
      <c r="A251" s="737" t="s">
        <v>380</v>
      </c>
      <c r="B251" s="732" t="s">
        <v>743</v>
      </c>
      <c r="C251" s="732"/>
      <c r="D251" s="734">
        <f>'[2]总投资-发采购-0411-GLP拆分场外费用(司调)'!G308</f>
        <v>356.25</v>
      </c>
      <c r="E251" s="735">
        <f t="shared" si="20"/>
        <v>50.105485232067508</v>
      </c>
      <c r="F251" s="735">
        <f t="shared" si="21"/>
        <v>50.105485232067508</v>
      </c>
      <c r="G251" s="735">
        <f t="shared" si="22"/>
        <v>356.25</v>
      </c>
      <c r="H251" s="736"/>
      <c r="I251" s="736"/>
      <c r="J251" s="736"/>
      <c r="K251" s="739" t="s">
        <v>224</v>
      </c>
      <c r="L251" s="736"/>
      <c r="M251" s="727" t="s">
        <v>794</v>
      </c>
      <c r="N251" s="736"/>
      <c r="O251" s="736"/>
      <c r="P251" s="741"/>
      <c r="Q251" s="740"/>
      <c r="R251" s="740"/>
      <c r="S251" s="740"/>
      <c r="T251" s="739"/>
    </row>
    <row r="252" spans="1:20" hidden="1">
      <c r="A252" s="737" t="s">
        <v>381</v>
      </c>
      <c r="B252" s="732" t="s">
        <v>744</v>
      </c>
      <c r="C252" s="732"/>
      <c r="D252" s="734">
        <f>'[2]总投资-发采购-0411-GLP拆分场外费用(司调)'!G309</f>
        <v>5956.8</v>
      </c>
      <c r="E252" s="735">
        <f t="shared" si="20"/>
        <v>837.80590717299572</v>
      </c>
      <c r="F252" s="735">
        <f t="shared" si="21"/>
        <v>837.80590717299572</v>
      </c>
      <c r="G252" s="735">
        <f t="shared" si="22"/>
        <v>5956.8</v>
      </c>
      <c r="H252" s="736"/>
      <c r="I252" s="736"/>
      <c r="J252" s="736"/>
      <c r="K252" s="739" t="s">
        <v>224</v>
      </c>
      <c r="L252" s="736"/>
      <c r="M252" s="727" t="s">
        <v>794</v>
      </c>
      <c r="N252" s="736"/>
      <c r="O252" s="736"/>
      <c r="P252" s="741"/>
      <c r="Q252" s="740"/>
      <c r="R252" s="740"/>
      <c r="S252" s="740"/>
      <c r="T252" s="739"/>
    </row>
    <row r="253" spans="1:20" hidden="1">
      <c r="A253" s="737" t="s">
        <v>382</v>
      </c>
      <c r="B253" s="732" t="s">
        <v>745</v>
      </c>
      <c r="C253" s="732"/>
      <c r="D253" s="734">
        <f>'[2]总投资-发采购-0411-GLP拆分场外费用(司调)'!G310</f>
        <v>208</v>
      </c>
      <c r="E253" s="735">
        <f t="shared" si="20"/>
        <v>29.254571026722925</v>
      </c>
      <c r="F253" s="735">
        <f t="shared" si="21"/>
        <v>29.254571026722925</v>
      </c>
      <c r="G253" s="735">
        <f t="shared" si="22"/>
        <v>208</v>
      </c>
      <c r="H253" s="736"/>
      <c r="I253" s="736"/>
      <c r="J253" s="736"/>
      <c r="K253" s="739" t="s">
        <v>224</v>
      </c>
      <c r="L253" s="736"/>
      <c r="M253" s="727" t="s">
        <v>794</v>
      </c>
      <c r="N253" s="736"/>
      <c r="O253" s="736"/>
      <c r="P253" s="741"/>
      <c r="Q253" s="740"/>
      <c r="R253" s="740"/>
      <c r="S253" s="740"/>
      <c r="T253" s="739"/>
    </row>
    <row r="254" spans="1:20" hidden="1">
      <c r="A254" s="737" t="s">
        <v>383</v>
      </c>
      <c r="B254" s="732" t="s">
        <v>747</v>
      </c>
      <c r="C254" s="732"/>
      <c r="D254" s="734">
        <f>'[2]总投资-发采购-0411-GLP拆分场外费用(司调)'!G311</f>
        <v>1959.93</v>
      </c>
      <c r="E254" s="735">
        <f t="shared" si="20"/>
        <v>275.65822784810126</v>
      </c>
      <c r="F254" s="735">
        <f t="shared" si="21"/>
        <v>275.65822784810126</v>
      </c>
      <c r="G254" s="735">
        <f t="shared" si="22"/>
        <v>1959.93</v>
      </c>
      <c r="H254" s="736"/>
      <c r="I254" s="736"/>
      <c r="J254" s="736"/>
      <c r="K254" s="739" t="s">
        <v>224</v>
      </c>
      <c r="L254" s="736"/>
      <c r="M254" s="727" t="s">
        <v>794</v>
      </c>
      <c r="N254" s="736"/>
      <c r="O254" s="736"/>
      <c r="P254" s="741"/>
      <c r="Q254" s="740"/>
      <c r="R254" s="740"/>
      <c r="S254" s="740"/>
      <c r="T254" s="739"/>
    </row>
    <row r="255" spans="1:20" hidden="1">
      <c r="A255" s="737" t="s">
        <v>385</v>
      </c>
      <c r="B255" s="732" t="s">
        <v>743</v>
      </c>
      <c r="C255" s="732"/>
      <c r="D255" s="734">
        <f>'[2]总投资-发采购-0411-GLP拆分场外费用(司调)'!G312</f>
        <v>1959.93</v>
      </c>
      <c r="E255" s="735">
        <f t="shared" si="20"/>
        <v>275.65822784810126</v>
      </c>
      <c r="F255" s="735">
        <f t="shared" si="21"/>
        <v>275.65822784810126</v>
      </c>
      <c r="G255" s="735">
        <f t="shared" si="22"/>
        <v>1959.93</v>
      </c>
      <c r="H255" s="736"/>
      <c r="I255" s="736"/>
      <c r="J255" s="736"/>
      <c r="K255" s="739" t="s">
        <v>224</v>
      </c>
      <c r="L255" s="736"/>
      <c r="M255" s="727" t="s">
        <v>794</v>
      </c>
      <c r="N255" s="736"/>
      <c r="O255" s="736"/>
      <c r="P255" s="741"/>
      <c r="Q255" s="740"/>
      <c r="R255" s="740"/>
      <c r="S255" s="740"/>
      <c r="T255" s="739"/>
    </row>
    <row r="256" spans="1:20" hidden="1">
      <c r="A256" s="737">
        <v>6.4</v>
      </c>
      <c r="B256" s="732" t="s">
        <v>748</v>
      </c>
      <c r="C256" s="732"/>
      <c r="D256" s="734">
        <f>'[2]总投资-发采购-0411-GLP拆分场外费用(司调)'!G313</f>
        <v>3742.2</v>
      </c>
      <c r="E256" s="735">
        <f t="shared" si="20"/>
        <v>526.3291139240506</v>
      </c>
      <c r="F256" s="735">
        <f t="shared" si="21"/>
        <v>526.3291139240506</v>
      </c>
      <c r="G256" s="735">
        <f t="shared" si="22"/>
        <v>3742.2</v>
      </c>
      <c r="H256" s="736"/>
      <c r="I256" s="736"/>
      <c r="J256" s="736"/>
      <c r="K256" s="739" t="s">
        <v>224</v>
      </c>
      <c r="L256" s="736"/>
      <c r="M256" s="727" t="s">
        <v>794</v>
      </c>
      <c r="N256" s="736"/>
      <c r="O256" s="736"/>
      <c r="P256" s="741"/>
      <c r="Q256" s="740"/>
      <c r="R256" s="740"/>
      <c r="S256" s="740"/>
      <c r="T256" s="739"/>
    </row>
    <row r="257" spans="1:20" hidden="1">
      <c r="A257" s="737" t="s">
        <v>387</v>
      </c>
      <c r="B257" s="732" t="s">
        <v>743</v>
      </c>
      <c r="C257" s="732"/>
      <c r="D257" s="734">
        <f>'[2]总投资-发采购-0411-GLP拆分场外费用(司调)'!G314</f>
        <v>3742.2</v>
      </c>
      <c r="E257" s="735">
        <f t="shared" si="20"/>
        <v>526.3291139240506</v>
      </c>
      <c r="F257" s="735">
        <f t="shared" si="21"/>
        <v>526.3291139240506</v>
      </c>
      <c r="G257" s="735">
        <f t="shared" si="22"/>
        <v>3742.2</v>
      </c>
      <c r="H257" s="736"/>
      <c r="I257" s="736"/>
      <c r="J257" s="736"/>
      <c r="K257" s="739" t="s">
        <v>224</v>
      </c>
      <c r="L257" s="736"/>
      <c r="M257" s="727" t="s">
        <v>794</v>
      </c>
      <c r="N257" s="736"/>
      <c r="O257" s="736"/>
      <c r="P257" s="741"/>
      <c r="Q257" s="740"/>
      <c r="R257" s="740"/>
      <c r="S257" s="740"/>
      <c r="T257" s="739"/>
    </row>
    <row r="258" spans="1:20" hidden="1">
      <c r="A258" s="737">
        <v>6.5</v>
      </c>
      <c r="B258" s="732" t="s">
        <v>749</v>
      </c>
      <c r="C258" s="732"/>
      <c r="D258" s="734">
        <f>'[2]总投资-发采购-0411-GLP拆分场外费用(司调)'!G315</f>
        <v>4063.5</v>
      </c>
      <c r="E258" s="735">
        <f t="shared" si="20"/>
        <v>571.51898734177212</v>
      </c>
      <c r="F258" s="735">
        <f t="shared" si="21"/>
        <v>571.51898734177212</v>
      </c>
      <c r="G258" s="735">
        <f t="shared" si="22"/>
        <v>4063.5</v>
      </c>
      <c r="H258" s="736"/>
      <c r="I258" s="736"/>
      <c r="J258" s="736"/>
      <c r="K258" s="739" t="s">
        <v>224</v>
      </c>
      <c r="L258" s="736"/>
      <c r="M258" s="727" t="s">
        <v>794</v>
      </c>
      <c r="N258" s="736"/>
      <c r="O258" s="736"/>
      <c r="P258" s="741"/>
      <c r="Q258" s="740"/>
      <c r="R258" s="740"/>
      <c r="S258" s="740"/>
      <c r="T258" s="739"/>
    </row>
    <row r="259" spans="1:20" hidden="1">
      <c r="A259" s="737" t="s">
        <v>389</v>
      </c>
      <c r="B259" s="732" t="s">
        <v>743</v>
      </c>
      <c r="C259" s="732"/>
      <c r="D259" s="734">
        <f>'[2]总投资-发采购-0411-GLP拆分场外费用(司调)'!G316</f>
        <v>4063.5</v>
      </c>
      <c r="E259" s="735">
        <f t="shared" si="20"/>
        <v>571.51898734177212</v>
      </c>
      <c r="F259" s="735">
        <f t="shared" si="21"/>
        <v>571.51898734177212</v>
      </c>
      <c r="G259" s="735">
        <f t="shared" si="22"/>
        <v>4063.5</v>
      </c>
      <c r="H259" s="736"/>
      <c r="I259" s="736"/>
      <c r="J259" s="736"/>
      <c r="K259" s="739" t="s">
        <v>224</v>
      </c>
      <c r="L259" s="736"/>
      <c r="M259" s="727" t="s">
        <v>794</v>
      </c>
      <c r="N259" s="736"/>
      <c r="O259" s="736"/>
      <c r="P259" s="741"/>
      <c r="Q259" s="740"/>
      <c r="R259" s="740"/>
      <c r="S259" s="740"/>
      <c r="T259" s="739"/>
    </row>
    <row r="260" spans="1:20" hidden="1">
      <c r="A260" s="737">
        <v>6.6</v>
      </c>
      <c r="B260" s="732" t="s">
        <v>750</v>
      </c>
      <c r="C260" s="732"/>
      <c r="D260" s="734">
        <f>'[2]总投资-发采购-0411-GLP拆分场外费用(司调)'!G317</f>
        <v>1338.12</v>
      </c>
      <c r="E260" s="735">
        <f t="shared" si="20"/>
        <v>188.20253164556959</v>
      </c>
      <c r="F260" s="735">
        <f t="shared" si="21"/>
        <v>188.20253164556959</v>
      </c>
      <c r="G260" s="735">
        <f t="shared" si="22"/>
        <v>1338.12</v>
      </c>
      <c r="H260" s="736"/>
      <c r="I260" s="736"/>
      <c r="J260" s="736"/>
      <c r="K260" s="739" t="s">
        <v>224</v>
      </c>
      <c r="L260" s="736"/>
      <c r="M260" s="727" t="s">
        <v>794</v>
      </c>
      <c r="N260" s="736"/>
      <c r="O260" s="736"/>
      <c r="P260" s="741"/>
      <c r="Q260" s="740"/>
      <c r="R260" s="740"/>
      <c r="S260" s="740"/>
      <c r="T260" s="739"/>
    </row>
    <row r="261" spans="1:20" hidden="1">
      <c r="A261" s="737" t="s">
        <v>391</v>
      </c>
      <c r="B261" s="732" t="s">
        <v>743</v>
      </c>
      <c r="C261" s="732"/>
      <c r="D261" s="734">
        <f>'[2]总投资-发采购-0411-GLP拆分场外费用(司调)'!G318</f>
        <v>1338.12</v>
      </c>
      <c r="E261" s="735">
        <f t="shared" si="20"/>
        <v>188.20253164556959</v>
      </c>
      <c r="F261" s="735">
        <f t="shared" si="21"/>
        <v>188.20253164556959</v>
      </c>
      <c r="G261" s="735">
        <f t="shared" si="22"/>
        <v>1338.12</v>
      </c>
      <c r="H261" s="736"/>
      <c r="I261" s="736"/>
      <c r="J261" s="736"/>
      <c r="K261" s="739" t="s">
        <v>224</v>
      </c>
      <c r="L261" s="736"/>
      <c r="M261" s="727" t="s">
        <v>794</v>
      </c>
      <c r="N261" s="736"/>
      <c r="O261" s="736"/>
      <c r="P261" s="741"/>
      <c r="Q261" s="740"/>
      <c r="R261" s="740"/>
      <c r="S261" s="740"/>
      <c r="T261" s="739"/>
    </row>
    <row r="262" spans="1:20">
      <c r="A262" s="727" t="s">
        <v>392</v>
      </c>
      <c r="B262" s="728" t="s">
        <v>644</v>
      </c>
      <c r="C262" s="728" t="s">
        <v>645</v>
      </c>
      <c r="D262" s="729">
        <f>'[2]总投资-发采购-0411-GLP拆分场外费用(司调)'!G301</f>
        <v>20000</v>
      </c>
      <c r="E262" s="730">
        <f t="shared" si="20"/>
        <v>2812.939521800281</v>
      </c>
      <c r="F262" s="730">
        <f t="shared" si="19"/>
        <v>2812.939521800281</v>
      </c>
      <c r="G262" s="730">
        <f t="shared" si="22"/>
        <v>20000</v>
      </c>
      <c r="H262" s="727" t="s">
        <v>543</v>
      </c>
      <c r="I262" s="727" t="s">
        <v>30</v>
      </c>
      <c r="J262" s="727">
        <v>12</v>
      </c>
      <c r="K262" s="739" t="s">
        <v>31</v>
      </c>
      <c r="L262" s="727"/>
      <c r="M262" s="727" t="s">
        <v>794</v>
      </c>
      <c r="N262" s="727"/>
      <c r="O262" s="727"/>
      <c r="P262" s="740" t="s">
        <v>737</v>
      </c>
      <c r="Q262" s="740" t="s">
        <v>738</v>
      </c>
      <c r="R262" s="740" t="s">
        <v>739</v>
      </c>
      <c r="S262" s="740" t="s">
        <v>740</v>
      </c>
      <c r="T262" s="739"/>
    </row>
    <row r="263" spans="1:20" ht="79.2">
      <c r="A263" s="727" t="s">
        <v>58</v>
      </c>
      <c r="B263" s="728" t="s">
        <v>647</v>
      </c>
      <c r="C263" s="728" t="s">
        <v>648</v>
      </c>
      <c r="D263" s="730">
        <f>SUM('[2]总投资-发采购-0411-GLP拆分场外费用(司调)'!G281,'[2]总投资-发采购-0411-GLP拆分场外费用(司调)'!G282,'[2]总投资-发采购-0411-GLP拆分场外费用(司调)'!G283,'[2]总投资-发采购-0411-GLP拆分场外费用(司调)'!G284,'[2]总投资-发采购-0411-GLP拆分场外费用(司调)'!G285,'[2]总投资-发采购-0411-GLP拆分场外费用(司调)'!G286,'[2]总投资-发采购-0411-GLP拆分场外费用(司调)'!G275,'[2]总投资-发采购-0411-GLP拆分场外费用(司调)'!G276,'[2]总投资-发采购-0411-GLP拆分场外费用(司调)'!G277,'[2]总投资-发采购-0411-GLP拆分场外费用(司调)'!G278,'[2]总投资-发采购-0411-GLP拆分场外费用(司调)'!G279)</f>
        <v>5413.5454999999993</v>
      </c>
      <c r="E263" s="730">
        <f t="shared" si="20"/>
        <v>761.39880450070314</v>
      </c>
      <c r="F263" s="730">
        <f t="shared" si="19"/>
        <v>761.39880450070314</v>
      </c>
      <c r="G263" s="730">
        <f t="shared" ref="G263:G311" si="23">D263</f>
        <v>5413.5454999999993</v>
      </c>
      <c r="H263" s="727" t="s">
        <v>61</v>
      </c>
      <c r="I263" s="727" t="s">
        <v>30</v>
      </c>
      <c r="J263" s="727">
        <v>12</v>
      </c>
      <c r="K263" s="739" t="s">
        <v>31</v>
      </c>
      <c r="L263" s="727" t="s">
        <v>135</v>
      </c>
      <c r="M263" s="727" t="s">
        <v>794</v>
      </c>
      <c r="N263" s="727"/>
      <c r="O263" s="727"/>
      <c r="P263" s="740" t="s">
        <v>737</v>
      </c>
      <c r="Q263" s="740" t="s">
        <v>738</v>
      </c>
      <c r="R263" s="740" t="s">
        <v>739</v>
      </c>
      <c r="S263" s="740" t="s">
        <v>740</v>
      </c>
      <c r="T263" s="739" t="s">
        <v>649</v>
      </c>
    </row>
    <row r="264" spans="1:20" hidden="1">
      <c r="A264" s="745" t="s">
        <v>403</v>
      </c>
      <c r="B264" s="746" t="s">
        <v>751</v>
      </c>
      <c r="C264" s="747">
        <f>'[2]总投资-发采购-0411-GLP拆分场外费用(司调)'!H281</f>
        <v>11022</v>
      </c>
      <c r="D264" s="748">
        <f>'[2]总投资-发采购-0411-GLP拆分场外费用(司调)'!G281</f>
        <v>363.67649999999998</v>
      </c>
      <c r="E264" s="748">
        <f t="shared" si="20"/>
        <v>51.149999999999991</v>
      </c>
      <c r="F264" s="748">
        <f>D264</f>
        <v>363.67649999999998</v>
      </c>
      <c r="G264" s="748">
        <f>E264</f>
        <v>51.149999999999991</v>
      </c>
      <c r="H264" s="749"/>
      <c r="I264" s="749"/>
      <c r="J264" s="749"/>
      <c r="K264" s="754"/>
      <c r="L264" s="749"/>
      <c r="M264" s="749"/>
      <c r="N264" s="749"/>
      <c r="O264" s="749"/>
      <c r="P264" s="755"/>
      <c r="Q264" s="738"/>
      <c r="R264" s="738"/>
      <c r="S264" s="738"/>
      <c r="T264" s="697"/>
    </row>
    <row r="265" spans="1:20" hidden="1">
      <c r="A265" s="745" t="s">
        <v>405</v>
      </c>
      <c r="B265" s="746" t="s">
        <v>752</v>
      </c>
      <c r="C265" s="747">
        <f>'[2]总投资-发采购-0411-GLP拆分场外费用(司调)'!H282</f>
        <v>11707</v>
      </c>
      <c r="D265" s="748">
        <f>'[2]总投资-发采购-0411-GLP拆分场外费用(司调)'!G282</f>
        <v>386.1825</v>
      </c>
      <c r="E265" s="748">
        <f t="shared" ref="E265:E275" si="24">D265/$A$3</f>
        <v>54.315400843881854</v>
      </c>
      <c r="F265" s="748">
        <f t="shared" ref="F265:G274" si="25">D265</f>
        <v>386.1825</v>
      </c>
      <c r="G265" s="748">
        <f t="shared" si="25"/>
        <v>54.315400843881854</v>
      </c>
      <c r="H265" s="749"/>
      <c r="I265" s="749"/>
      <c r="J265" s="749"/>
      <c r="K265" s="754"/>
      <c r="L265" s="749"/>
      <c r="M265" s="749"/>
      <c r="N265" s="749"/>
      <c r="O265" s="749"/>
      <c r="P265" s="755"/>
      <c r="Q265" s="738"/>
      <c r="R265" s="738"/>
      <c r="S265" s="738"/>
      <c r="T265" s="697"/>
    </row>
    <row r="266" spans="1:20" hidden="1">
      <c r="A266" s="745" t="s">
        <v>407</v>
      </c>
      <c r="B266" s="746" t="s">
        <v>753</v>
      </c>
      <c r="C266" s="747">
        <f>'[2]总投资-发采购-0411-GLP拆分场外费用(司调)'!H283</f>
        <v>11707</v>
      </c>
      <c r="D266" s="748">
        <f>'[2]总投资-发采购-0411-GLP拆分场外费用(司调)'!G283</f>
        <v>386.1825</v>
      </c>
      <c r="E266" s="748">
        <f t="shared" si="24"/>
        <v>54.315400843881854</v>
      </c>
      <c r="F266" s="748">
        <f t="shared" si="25"/>
        <v>386.1825</v>
      </c>
      <c r="G266" s="748">
        <f t="shared" si="25"/>
        <v>54.315400843881854</v>
      </c>
      <c r="H266" s="749"/>
      <c r="I266" s="749"/>
      <c r="J266" s="749"/>
      <c r="K266" s="754"/>
      <c r="L266" s="749"/>
      <c r="M266" s="749"/>
      <c r="N266" s="749"/>
      <c r="O266" s="749"/>
      <c r="P266" s="755"/>
      <c r="Q266" s="738"/>
      <c r="R266" s="738"/>
      <c r="S266" s="738"/>
      <c r="T266" s="697"/>
    </row>
    <row r="267" spans="1:20" hidden="1">
      <c r="A267" s="745" t="s">
        <v>409</v>
      </c>
      <c r="B267" s="746" t="s">
        <v>754</v>
      </c>
      <c r="C267" s="747">
        <f>'[2]总投资-发采购-0411-GLP拆分场外费用(司调)'!H284</f>
        <v>11707</v>
      </c>
      <c r="D267" s="748">
        <f>'[2]总投资-发采购-0411-GLP拆分场外费用(司调)'!G284</f>
        <v>386.1825</v>
      </c>
      <c r="E267" s="748">
        <f t="shared" si="24"/>
        <v>54.315400843881854</v>
      </c>
      <c r="F267" s="748">
        <f t="shared" si="25"/>
        <v>386.1825</v>
      </c>
      <c r="G267" s="748">
        <f t="shared" si="25"/>
        <v>54.315400843881854</v>
      </c>
      <c r="H267" s="749"/>
      <c r="I267" s="749"/>
      <c r="J267" s="749"/>
      <c r="K267" s="754"/>
      <c r="L267" s="749"/>
      <c r="M267" s="749"/>
      <c r="N267" s="749"/>
      <c r="O267" s="749"/>
      <c r="P267" s="755"/>
      <c r="Q267" s="738"/>
      <c r="R267" s="738"/>
      <c r="S267" s="738"/>
      <c r="T267" s="697"/>
    </row>
    <row r="268" spans="1:20" hidden="1">
      <c r="A268" s="745" t="s">
        <v>411</v>
      </c>
      <c r="B268" s="746" t="s">
        <v>755</v>
      </c>
      <c r="C268" s="747">
        <f>'[2]总投资-发采购-0411-GLP拆分场外费用(司调)'!H285</f>
        <v>18327</v>
      </c>
      <c r="D268" s="748">
        <f>'[2]总投资-发采购-0411-GLP拆分场外费用(司调)'!G285</f>
        <v>604.76350000000002</v>
      </c>
      <c r="E268" s="748">
        <f t="shared" si="24"/>
        <v>85.058157524613222</v>
      </c>
      <c r="F268" s="748">
        <f t="shared" si="25"/>
        <v>604.76350000000002</v>
      </c>
      <c r="G268" s="748">
        <f t="shared" si="25"/>
        <v>85.058157524613222</v>
      </c>
      <c r="H268" s="749"/>
      <c r="I268" s="749"/>
      <c r="J268" s="749"/>
      <c r="K268" s="754"/>
      <c r="L268" s="749"/>
      <c r="M268" s="749"/>
      <c r="N268" s="749"/>
      <c r="O268" s="749"/>
      <c r="P268" s="755"/>
      <c r="Q268" s="738"/>
      <c r="R268" s="738"/>
      <c r="S268" s="738"/>
      <c r="T268" s="697"/>
    </row>
    <row r="269" spans="1:20" hidden="1">
      <c r="A269" s="745" t="s">
        <v>413</v>
      </c>
      <c r="B269" s="746" t="s">
        <v>756</v>
      </c>
      <c r="C269" s="747">
        <f>'[2]总投资-发采购-0411-GLP拆分场外费用(司调)'!H286</f>
        <v>11664</v>
      </c>
      <c r="D269" s="748">
        <f>'[2]总投资-发采购-0411-GLP拆分场外费用(司调)'!G286</f>
        <v>384.81849999999997</v>
      </c>
      <c r="E269" s="748">
        <f t="shared" si="24"/>
        <v>54.123558368495068</v>
      </c>
      <c r="F269" s="748">
        <f t="shared" si="25"/>
        <v>384.81849999999997</v>
      </c>
      <c r="G269" s="748">
        <f t="shared" si="25"/>
        <v>54.123558368495068</v>
      </c>
      <c r="H269" s="749"/>
      <c r="I269" s="749"/>
      <c r="J269" s="749"/>
      <c r="K269" s="754"/>
      <c r="L269" s="749"/>
      <c r="M269" s="749"/>
      <c r="N269" s="749"/>
      <c r="O269" s="749"/>
      <c r="P269" s="755"/>
      <c r="Q269" s="738"/>
      <c r="R269" s="738"/>
      <c r="S269" s="738"/>
      <c r="T269" s="697"/>
    </row>
    <row r="270" spans="1:20" hidden="1">
      <c r="A270" s="745" t="s">
        <v>415</v>
      </c>
      <c r="B270" s="746" t="s">
        <v>416</v>
      </c>
      <c r="C270" s="747">
        <f>'[2]总投资-发采购-0411-GLP拆分场外费用(司调)'!H275</f>
        <v>16128</v>
      </c>
      <c r="D270" s="748">
        <f>'[2]总投资-发采购-0411-GLP拆分场外费用(司调)'!G275</f>
        <v>532.13049999999998</v>
      </c>
      <c r="E270" s="748">
        <f t="shared" si="24"/>
        <v>74.842545710267217</v>
      </c>
      <c r="F270" s="748">
        <f t="shared" si="25"/>
        <v>532.13049999999998</v>
      </c>
      <c r="G270" s="748">
        <f t="shared" si="25"/>
        <v>74.842545710267217</v>
      </c>
      <c r="H270" s="749"/>
      <c r="I270" s="749"/>
      <c r="J270" s="749"/>
      <c r="K270" s="754"/>
      <c r="L270" s="749"/>
      <c r="M270" s="749"/>
      <c r="N270" s="749"/>
      <c r="O270" s="749"/>
      <c r="P270" s="755"/>
      <c r="Q270" s="738"/>
      <c r="R270" s="738"/>
      <c r="S270" s="738"/>
      <c r="T270" s="697"/>
    </row>
    <row r="271" spans="1:20" hidden="1">
      <c r="A271" s="745" t="s">
        <v>417</v>
      </c>
      <c r="B271" s="746" t="s">
        <v>418</v>
      </c>
      <c r="C271" s="747">
        <f>'[2]总投资-发采购-0411-GLP拆分场外费用(司调)'!H276</f>
        <v>18768</v>
      </c>
      <c r="D271" s="748">
        <f>'[2]总投资-发采购-0411-GLP拆分场外费用(司调)'!G276</f>
        <v>619.25599999999997</v>
      </c>
      <c r="E271" s="748">
        <f t="shared" si="24"/>
        <v>87.096483825597744</v>
      </c>
      <c r="F271" s="748">
        <f t="shared" si="25"/>
        <v>619.25599999999997</v>
      </c>
      <c r="G271" s="748">
        <f t="shared" si="25"/>
        <v>87.096483825597744</v>
      </c>
      <c r="H271" s="749"/>
      <c r="I271" s="749"/>
      <c r="J271" s="749"/>
      <c r="K271" s="754"/>
      <c r="L271" s="749"/>
      <c r="M271" s="749"/>
      <c r="N271" s="749"/>
      <c r="O271" s="749"/>
      <c r="P271" s="755"/>
      <c r="Q271" s="738"/>
      <c r="R271" s="738"/>
      <c r="S271" s="738"/>
      <c r="T271" s="697"/>
    </row>
    <row r="272" spans="1:20" hidden="1">
      <c r="A272" s="745" t="s">
        <v>419</v>
      </c>
      <c r="B272" s="746" t="s">
        <v>420</v>
      </c>
      <c r="C272" s="747">
        <f>'[2]总投资-发采购-0411-GLP拆分场外费用(司调)'!H277</f>
        <v>18768</v>
      </c>
      <c r="D272" s="748">
        <f>'[2]总投资-发采购-0411-GLP拆分场外费用(司调)'!G277</f>
        <v>619.25599999999997</v>
      </c>
      <c r="E272" s="748">
        <f t="shared" si="24"/>
        <v>87.096483825597744</v>
      </c>
      <c r="F272" s="748">
        <f t="shared" si="25"/>
        <v>619.25599999999997</v>
      </c>
      <c r="G272" s="748">
        <f t="shared" si="25"/>
        <v>87.096483825597744</v>
      </c>
      <c r="H272" s="749"/>
      <c r="I272" s="749"/>
      <c r="J272" s="749"/>
      <c r="K272" s="754"/>
      <c r="L272" s="749"/>
      <c r="M272" s="749"/>
      <c r="N272" s="749"/>
      <c r="O272" s="749"/>
      <c r="P272" s="755"/>
      <c r="Q272" s="738"/>
      <c r="R272" s="738"/>
      <c r="S272" s="738"/>
      <c r="T272" s="697"/>
    </row>
    <row r="273" spans="1:20" hidden="1">
      <c r="A273" s="745" t="s">
        <v>421</v>
      </c>
      <c r="B273" s="746" t="s">
        <v>422</v>
      </c>
      <c r="C273" s="747">
        <f>'[2]总投资-发采购-0411-GLP拆分场外费用(司调)'!H278</f>
        <v>17136</v>
      </c>
      <c r="D273" s="748">
        <f>'[2]总投资-发采购-0411-GLP拆分场外费用(司调)'!G278</f>
        <v>565.54849999999999</v>
      </c>
      <c r="E273" s="748">
        <f t="shared" si="24"/>
        <v>79.542686357243312</v>
      </c>
      <c r="F273" s="748">
        <f t="shared" si="25"/>
        <v>565.54849999999999</v>
      </c>
      <c r="G273" s="748">
        <f t="shared" si="25"/>
        <v>79.542686357243312</v>
      </c>
      <c r="H273" s="749"/>
      <c r="I273" s="749"/>
      <c r="J273" s="749"/>
      <c r="K273" s="754"/>
      <c r="L273" s="749"/>
      <c r="M273" s="749"/>
      <c r="N273" s="749"/>
      <c r="O273" s="749"/>
      <c r="P273" s="755"/>
      <c r="Q273" s="738"/>
      <c r="R273" s="738"/>
      <c r="S273" s="738"/>
      <c r="T273" s="697"/>
    </row>
    <row r="274" spans="1:20" hidden="1">
      <c r="A274" s="745" t="s">
        <v>423</v>
      </c>
      <c r="B274" s="746" t="s">
        <v>424</v>
      </c>
      <c r="C274" s="747">
        <f>'[2]总投资-发采购-0411-GLP拆分场外费用(司调)'!H279</f>
        <v>17136</v>
      </c>
      <c r="D274" s="748">
        <f>'[2]总投资-发采购-0411-GLP拆分场外费用(司调)'!G279</f>
        <v>565.54849999999999</v>
      </c>
      <c r="E274" s="748">
        <f t="shared" si="24"/>
        <v>79.542686357243312</v>
      </c>
      <c r="F274" s="748">
        <f t="shared" si="25"/>
        <v>565.54849999999999</v>
      </c>
      <c r="G274" s="748">
        <f t="shared" si="25"/>
        <v>79.542686357243312</v>
      </c>
      <c r="H274" s="749"/>
      <c r="I274" s="749"/>
      <c r="J274" s="749"/>
      <c r="K274" s="754"/>
      <c r="L274" s="749"/>
      <c r="M274" s="749"/>
      <c r="N274" s="749"/>
      <c r="O274" s="749"/>
      <c r="P274" s="755"/>
      <c r="Q274" s="738"/>
      <c r="R274" s="738"/>
      <c r="S274" s="738"/>
      <c r="T274" s="697"/>
    </row>
    <row r="275" spans="1:20" ht="52.8">
      <c r="A275" s="606" t="s">
        <v>63</v>
      </c>
      <c r="B275" s="709" t="s">
        <v>650</v>
      </c>
      <c r="C275" s="683" t="s">
        <v>651</v>
      </c>
      <c r="D275" s="712">
        <f>SUM('[2]总投资-发采购-0411-GLP拆分场外费用(司调)'!G260:G274,'[2]总投资-发采购-0411-GLP拆分场外费用(司调)'!G280)</f>
        <v>6823.4099999999989</v>
      </c>
      <c r="E275" s="685">
        <f t="shared" si="24"/>
        <v>959.69198312236267</v>
      </c>
      <c r="F275" s="685">
        <f t="shared" si="19"/>
        <v>959.69198312236267</v>
      </c>
      <c r="G275" s="685">
        <f t="shared" si="23"/>
        <v>6823.4099999999989</v>
      </c>
      <c r="H275" s="606" t="s">
        <v>61</v>
      </c>
      <c r="I275" s="606" t="s">
        <v>30</v>
      </c>
      <c r="J275" s="715">
        <v>40</v>
      </c>
      <c r="K275" s="697" t="s">
        <v>544</v>
      </c>
      <c r="L275" s="606"/>
      <c r="M275" s="606"/>
      <c r="N275" s="606"/>
      <c r="O275" s="606"/>
      <c r="P275" s="738" t="s">
        <v>181</v>
      </c>
      <c r="Q275" s="738" t="s">
        <v>428</v>
      </c>
      <c r="R275" s="738" t="s">
        <v>517</v>
      </c>
      <c r="S275" s="738" t="s">
        <v>228</v>
      </c>
      <c r="T275" s="697"/>
    </row>
    <row r="276" spans="1:20" hidden="1">
      <c r="A276" s="686">
        <v>4.0999999999999996</v>
      </c>
      <c r="B276" s="687" t="s">
        <v>759</v>
      </c>
      <c r="C276" s="687" t="s">
        <v>431</v>
      </c>
      <c r="D276" s="689">
        <f>[2]总投资20240410!F327</f>
        <v>12236.96</v>
      </c>
      <c r="E276" s="685">
        <f t="shared" ref="E276:E308" si="26">D276/$A$3</f>
        <v>1721.0914205344584</v>
      </c>
      <c r="F276" s="685">
        <f t="shared" si="19"/>
        <v>1721.0914205344584</v>
      </c>
      <c r="G276" s="685">
        <f t="shared" si="23"/>
        <v>12236.96</v>
      </c>
      <c r="H276" s="606" t="s">
        <v>61</v>
      </c>
      <c r="I276" s="700"/>
      <c r="J276" s="700"/>
      <c r="K276" s="697" t="s">
        <v>544</v>
      </c>
      <c r="L276" s="700"/>
      <c r="M276" s="700"/>
      <c r="N276" s="700"/>
      <c r="O276" s="700"/>
      <c r="P276" s="701"/>
      <c r="Q276" s="701"/>
      <c r="R276" s="701"/>
      <c r="S276" s="701"/>
      <c r="T276" s="708"/>
    </row>
    <row r="277" spans="1:20" hidden="1">
      <c r="A277" s="686"/>
      <c r="B277" s="750" t="s">
        <v>760</v>
      </c>
      <c r="C277" s="750">
        <f>SUM(C278:C292)</f>
        <v>196714.11</v>
      </c>
      <c r="D277" s="720">
        <f>SUM(D278:D293)</f>
        <v>6823.414499999999</v>
      </c>
      <c r="E277" s="685">
        <f t="shared" si="26"/>
        <v>959.69261603375503</v>
      </c>
      <c r="F277" s="685">
        <f t="shared" si="19"/>
        <v>959.69261603375503</v>
      </c>
      <c r="G277" s="685">
        <f t="shared" si="23"/>
        <v>6823.414499999999</v>
      </c>
      <c r="H277" s="606" t="s">
        <v>61</v>
      </c>
      <c r="I277" s="700"/>
      <c r="J277" s="700"/>
      <c r="K277" s="697" t="s">
        <v>544</v>
      </c>
      <c r="L277" s="700"/>
      <c r="M277" s="700"/>
      <c r="N277" s="700"/>
      <c r="O277" s="700"/>
      <c r="P277" s="701"/>
      <c r="Q277" s="701"/>
      <c r="R277" s="701"/>
      <c r="S277" s="701"/>
      <c r="T277" s="708"/>
    </row>
    <row r="278" spans="1:20" hidden="1">
      <c r="A278" s="686" t="s">
        <v>433</v>
      </c>
      <c r="B278" s="687" t="s">
        <v>761</v>
      </c>
      <c r="C278" s="687">
        <v>5226.66</v>
      </c>
      <c r="D278" s="689">
        <f>'[2]总投资-发采购-0411-GLP拆分场外费用(司调)'!G260</f>
        <v>172.37549999999999</v>
      </c>
      <c r="E278" s="685">
        <f t="shared" si="26"/>
        <v>24.244092827004216</v>
      </c>
      <c r="F278" s="685">
        <f t="shared" si="19"/>
        <v>24.244092827004216</v>
      </c>
      <c r="G278" s="685">
        <f t="shared" si="23"/>
        <v>172.37549999999999</v>
      </c>
      <c r="H278" s="606" t="s">
        <v>61</v>
      </c>
      <c r="I278" s="700"/>
      <c r="J278" s="700"/>
      <c r="K278" s="697" t="s">
        <v>544</v>
      </c>
      <c r="L278" s="700"/>
      <c r="M278" s="700"/>
      <c r="N278" s="700"/>
      <c r="O278" s="700"/>
      <c r="P278" s="701"/>
      <c r="Q278" s="701"/>
      <c r="R278" s="701"/>
      <c r="S278" s="701"/>
      <c r="T278" s="708"/>
    </row>
    <row r="279" spans="1:20" hidden="1">
      <c r="A279" s="686" t="s">
        <v>435</v>
      </c>
      <c r="B279" s="687" t="s">
        <v>762</v>
      </c>
      <c r="C279" s="687">
        <v>4929.0200000000004</v>
      </c>
      <c r="D279" s="689">
        <f>'[2]总投资-发采购-0411-GLP拆分场外费用(司调)'!G261</f>
        <v>162.65700000000001</v>
      </c>
      <c r="E279" s="685">
        <f t="shared" si="26"/>
        <v>22.877215189873418</v>
      </c>
      <c r="F279" s="685">
        <f t="shared" si="19"/>
        <v>22.877215189873418</v>
      </c>
      <c r="G279" s="685">
        <f t="shared" si="23"/>
        <v>162.65700000000001</v>
      </c>
      <c r="H279" s="606" t="s">
        <v>61</v>
      </c>
      <c r="I279" s="700"/>
      <c r="J279" s="700"/>
      <c r="K279" s="697" t="s">
        <v>544</v>
      </c>
      <c r="L279" s="700"/>
      <c r="M279" s="700"/>
      <c r="N279" s="700"/>
      <c r="O279" s="700"/>
      <c r="P279" s="701"/>
      <c r="Q279" s="701"/>
      <c r="R279" s="701"/>
      <c r="S279" s="701"/>
      <c r="T279" s="708"/>
    </row>
    <row r="280" spans="1:20" hidden="1">
      <c r="A280" s="686" t="s">
        <v>437</v>
      </c>
      <c r="B280" s="687" t="s">
        <v>438</v>
      </c>
      <c r="C280" s="687">
        <v>13104</v>
      </c>
      <c r="D280" s="689">
        <f>'[2]总投资-发采购-0411-GLP拆分场外费用(司调)'!G262</f>
        <v>432.38799999999998</v>
      </c>
      <c r="E280" s="685">
        <f t="shared" si="26"/>
        <v>60.814064697608998</v>
      </c>
      <c r="F280" s="685">
        <f t="shared" si="19"/>
        <v>60.814064697608998</v>
      </c>
      <c r="G280" s="685">
        <f t="shared" si="23"/>
        <v>432.38799999999998</v>
      </c>
      <c r="H280" s="606" t="s">
        <v>61</v>
      </c>
      <c r="I280" s="700"/>
      <c r="J280" s="700"/>
      <c r="K280" s="697" t="s">
        <v>544</v>
      </c>
      <c r="L280" s="700"/>
      <c r="M280" s="700"/>
      <c r="N280" s="700"/>
      <c r="O280" s="700"/>
      <c r="P280" s="701"/>
      <c r="Q280" s="701"/>
      <c r="R280" s="701"/>
      <c r="S280" s="701"/>
      <c r="T280" s="708"/>
    </row>
    <row r="281" spans="1:20" hidden="1">
      <c r="A281" s="686" t="s">
        <v>439</v>
      </c>
      <c r="B281" s="687" t="s">
        <v>440</v>
      </c>
      <c r="C281" s="687">
        <v>13104</v>
      </c>
      <c r="D281" s="689">
        <f>'[2]总投资-发采购-0411-GLP拆分场外费用(司调)'!G263</f>
        <v>432.38799999999998</v>
      </c>
      <c r="E281" s="685">
        <f t="shared" si="26"/>
        <v>60.814064697608998</v>
      </c>
      <c r="F281" s="685">
        <f t="shared" si="19"/>
        <v>60.814064697608998</v>
      </c>
      <c r="G281" s="685">
        <f t="shared" si="23"/>
        <v>432.38799999999998</v>
      </c>
      <c r="H281" s="606" t="s">
        <v>61</v>
      </c>
      <c r="I281" s="700"/>
      <c r="J281" s="700"/>
      <c r="K281" s="697" t="s">
        <v>544</v>
      </c>
      <c r="L281" s="700"/>
      <c r="M281" s="700"/>
      <c r="N281" s="700"/>
      <c r="O281" s="700"/>
      <c r="P281" s="701"/>
      <c r="Q281" s="701"/>
      <c r="R281" s="701"/>
      <c r="S281" s="701"/>
      <c r="T281" s="708"/>
    </row>
    <row r="282" spans="1:20" hidden="1">
      <c r="A282" s="686" t="s">
        <v>441</v>
      </c>
      <c r="B282" s="687" t="s">
        <v>442</v>
      </c>
      <c r="C282" s="687">
        <v>13104</v>
      </c>
      <c r="D282" s="689">
        <f>'[2]总投资-发采购-0411-GLP拆分场外费用(司调)'!G264</f>
        <v>432.38799999999998</v>
      </c>
      <c r="E282" s="685">
        <f t="shared" si="26"/>
        <v>60.814064697608998</v>
      </c>
      <c r="F282" s="685">
        <f t="shared" si="19"/>
        <v>60.814064697608998</v>
      </c>
      <c r="G282" s="685">
        <f t="shared" si="23"/>
        <v>432.38799999999998</v>
      </c>
      <c r="H282" s="606" t="s">
        <v>61</v>
      </c>
      <c r="I282" s="700"/>
      <c r="J282" s="700"/>
      <c r="K282" s="697" t="s">
        <v>544</v>
      </c>
      <c r="L282" s="700"/>
      <c r="M282" s="700"/>
      <c r="N282" s="700"/>
      <c r="O282" s="700"/>
      <c r="P282" s="701"/>
      <c r="Q282" s="701"/>
      <c r="R282" s="701"/>
      <c r="S282" s="701"/>
      <c r="T282" s="708"/>
    </row>
    <row r="283" spans="1:20" hidden="1">
      <c r="A283" s="686" t="s">
        <v>443</v>
      </c>
      <c r="B283" s="687" t="s">
        <v>444</v>
      </c>
      <c r="C283" s="687">
        <v>13104</v>
      </c>
      <c r="D283" s="689">
        <f>'[2]总投资-发采购-0411-GLP拆分场外费用(司调)'!G265</f>
        <v>432.38799999999998</v>
      </c>
      <c r="E283" s="685">
        <f t="shared" si="26"/>
        <v>60.814064697608998</v>
      </c>
      <c r="F283" s="685">
        <f t="shared" si="19"/>
        <v>60.814064697608998</v>
      </c>
      <c r="G283" s="685">
        <f t="shared" si="23"/>
        <v>432.38799999999998</v>
      </c>
      <c r="H283" s="606" t="s">
        <v>61</v>
      </c>
      <c r="I283" s="700"/>
      <c r="J283" s="700"/>
      <c r="K283" s="697" t="s">
        <v>544</v>
      </c>
      <c r="L283" s="700"/>
      <c r="M283" s="700"/>
      <c r="N283" s="700"/>
      <c r="O283" s="700"/>
      <c r="P283" s="701"/>
      <c r="Q283" s="701"/>
      <c r="R283" s="701"/>
      <c r="S283" s="701"/>
      <c r="T283" s="708"/>
    </row>
    <row r="284" spans="1:20" hidden="1">
      <c r="A284" s="686" t="s">
        <v>445</v>
      </c>
      <c r="B284" s="687" t="s">
        <v>446</v>
      </c>
      <c r="C284" s="687">
        <v>13104</v>
      </c>
      <c r="D284" s="689">
        <f>'[2]总投资-发采购-0411-GLP拆分场外费用(司调)'!G266</f>
        <v>432.38799999999998</v>
      </c>
      <c r="E284" s="685">
        <f t="shared" si="26"/>
        <v>60.814064697608998</v>
      </c>
      <c r="F284" s="685">
        <f t="shared" si="19"/>
        <v>60.814064697608998</v>
      </c>
      <c r="G284" s="685">
        <f t="shared" si="23"/>
        <v>432.38799999999998</v>
      </c>
      <c r="H284" s="606" t="s">
        <v>61</v>
      </c>
      <c r="I284" s="700"/>
      <c r="J284" s="700"/>
      <c r="K284" s="697" t="s">
        <v>544</v>
      </c>
      <c r="L284" s="700"/>
      <c r="M284" s="700"/>
      <c r="N284" s="700"/>
      <c r="O284" s="700"/>
      <c r="P284" s="701"/>
      <c r="Q284" s="701"/>
      <c r="R284" s="701"/>
      <c r="S284" s="701"/>
      <c r="T284" s="708"/>
    </row>
    <row r="285" spans="1:20" hidden="1">
      <c r="A285" s="686" t="s">
        <v>447</v>
      </c>
      <c r="B285" s="687" t="s">
        <v>448</v>
      </c>
      <c r="C285" s="687">
        <v>15120</v>
      </c>
      <c r="D285" s="689">
        <f>'[2]总投资-发采购-0411-GLP拆分场外费用(司调)'!G267</f>
        <v>498.88299999999998</v>
      </c>
      <c r="E285" s="685">
        <f t="shared" si="26"/>
        <v>70.166385372714487</v>
      </c>
      <c r="F285" s="685">
        <f t="shared" si="19"/>
        <v>70.166385372714487</v>
      </c>
      <c r="G285" s="685">
        <f t="shared" si="23"/>
        <v>498.88299999999998</v>
      </c>
      <c r="H285" s="606" t="s">
        <v>61</v>
      </c>
      <c r="I285" s="700"/>
      <c r="J285" s="700"/>
      <c r="K285" s="697" t="s">
        <v>544</v>
      </c>
      <c r="L285" s="700"/>
      <c r="M285" s="700"/>
      <c r="N285" s="700"/>
      <c r="O285" s="700"/>
      <c r="P285" s="701"/>
      <c r="Q285" s="701"/>
      <c r="R285" s="701"/>
      <c r="S285" s="701"/>
      <c r="T285" s="708"/>
    </row>
    <row r="286" spans="1:20" hidden="1">
      <c r="A286" s="686" t="s">
        <v>449</v>
      </c>
      <c r="B286" s="687" t="s">
        <v>450</v>
      </c>
      <c r="C286" s="687">
        <v>15120</v>
      </c>
      <c r="D286" s="689">
        <f>'[2]总投资-发采购-0411-GLP拆分场外费用(司调)'!G268</f>
        <v>498.88299999999998</v>
      </c>
      <c r="E286" s="685">
        <f t="shared" si="26"/>
        <v>70.166385372714487</v>
      </c>
      <c r="F286" s="685">
        <f t="shared" si="19"/>
        <v>70.166385372714487</v>
      </c>
      <c r="G286" s="685">
        <f t="shared" si="23"/>
        <v>498.88299999999998</v>
      </c>
      <c r="H286" s="606" t="s">
        <v>61</v>
      </c>
      <c r="I286" s="700"/>
      <c r="J286" s="700"/>
      <c r="K286" s="697" t="s">
        <v>544</v>
      </c>
      <c r="L286" s="700"/>
      <c r="M286" s="700"/>
      <c r="N286" s="700"/>
      <c r="O286" s="700"/>
      <c r="P286" s="701"/>
      <c r="Q286" s="701"/>
      <c r="R286" s="701"/>
      <c r="S286" s="701"/>
      <c r="T286" s="708"/>
    </row>
    <row r="287" spans="1:20" hidden="1">
      <c r="A287" s="686" t="s">
        <v>451</v>
      </c>
      <c r="B287" s="687" t="s">
        <v>452</v>
      </c>
      <c r="C287" s="687">
        <v>15120</v>
      </c>
      <c r="D287" s="689">
        <f>'[2]总投资-发采购-0411-GLP拆分场外费用(司调)'!G269</f>
        <v>498.88299999999998</v>
      </c>
      <c r="E287" s="685">
        <f t="shared" si="26"/>
        <v>70.166385372714487</v>
      </c>
      <c r="F287" s="685">
        <f t="shared" si="19"/>
        <v>70.166385372714487</v>
      </c>
      <c r="G287" s="685">
        <f t="shared" si="23"/>
        <v>498.88299999999998</v>
      </c>
      <c r="H287" s="606" t="s">
        <v>61</v>
      </c>
      <c r="I287" s="700"/>
      <c r="J287" s="700"/>
      <c r="K287" s="697" t="s">
        <v>544</v>
      </c>
      <c r="L287" s="700"/>
      <c r="M287" s="700"/>
      <c r="N287" s="700"/>
      <c r="O287" s="700"/>
      <c r="P287" s="701"/>
      <c r="Q287" s="701"/>
      <c r="R287" s="701"/>
      <c r="S287" s="701"/>
      <c r="T287" s="708"/>
    </row>
    <row r="288" spans="1:20" hidden="1">
      <c r="A288" s="686" t="s">
        <v>453</v>
      </c>
      <c r="B288" s="687" t="s">
        <v>454</v>
      </c>
      <c r="C288" s="687">
        <v>15120</v>
      </c>
      <c r="D288" s="689">
        <f>'[2]总投资-发采购-0411-GLP拆分场外费用(司调)'!G270</f>
        <v>498.88299999999998</v>
      </c>
      <c r="E288" s="685">
        <f t="shared" si="26"/>
        <v>70.166385372714487</v>
      </c>
      <c r="F288" s="685">
        <f t="shared" si="19"/>
        <v>70.166385372714487</v>
      </c>
      <c r="G288" s="685">
        <f t="shared" si="23"/>
        <v>498.88299999999998</v>
      </c>
      <c r="H288" s="606" t="s">
        <v>61</v>
      </c>
      <c r="I288" s="700"/>
      <c r="J288" s="700"/>
      <c r="K288" s="697" t="s">
        <v>544</v>
      </c>
      <c r="L288" s="700"/>
      <c r="M288" s="700"/>
      <c r="N288" s="700"/>
      <c r="O288" s="700"/>
      <c r="P288" s="701"/>
      <c r="Q288" s="701"/>
      <c r="R288" s="701"/>
      <c r="S288" s="701"/>
      <c r="T288" s="708"/>
    </row>
    <row r="289" spans="1:20" hidden="1">
      <c r="A289" s="686" t="s">
        <v>455</v>
      </c>
      <c r="B289" s="687" t="s">
        <v>456</v>
      </c>
      <c r="C289" s="687">
        <v>10800</v>
      </c>
      <c r="D289" s="689">
        <f>'[2]总投资-发采购-0411-GLP拆分场外费用(司调)'!G271</f>
        <v>356.34500000000003</v>
      </c>
      <c r="E289" s="685">
        <f t="shared" si="26"/>
        <v>50.118846694796062</v>
      </c>
      <c r="F289" s="685">
        <f t="shared" si="19"/>
        <v>50.118846694796062</v>
      </c>
      <c r="G289" s="685">
        <f t="shared" si="23"/>
        <v>356.34500000000003</v>
      </c>
      <c r="H289" s="606" t="s">
        <v>61</v>
      </c>
      <c r="I289" s="700"/>
      <c r="J289" s="700"/>
      <c r="K289" s="697" t="s">
        <v>544</v>
      </c>
      <c r="L289" s="700"/>
      <c r="M289" s="700"/>
      <c r="N289" s="700"/>
      <c r="O289" s="700"/>
      <c r="P289" s="701"/>
      <c r="Q289" s="701"/>
      <c r="R289" s="701"/>
      <c r="S289" s="701"/>
      <c r="T289" s="708"/>
    </row>
    <row r="290" spans="1:20" hidden="1">
      <c r="A290" s="686" t="s">
        <v>457</v>
      </c>
      <c r="B290" s="687" t="s">
        <v>458</v>
      </c>
      <c r="C290" s="687">
        <v>9360</v>
      </c>
      <c r="D290" s="689">
        <f>'[2]总投资-发采购-0411-GLP拆分场外费用(司调)'!G272</f>
        <v>308.77550000000002</v>
      </c>
      <c r="E290" s="685">
        <f t="shared" si="26"/>
        <v>43.428340365682139</v>
      </c>
      <c r="F290" s="685">
        <f t="shared" si="19"/>
        <v>43.428340365682139</v>
      </c>
      <c r="G290" s="685">
        <f t="shared" si="23"/>
        <v>308.77550000000002</v>
      </c>
      <c r="H290" s="606" t="s">
        <v>61</v>
      </c>
      <c r="I290" s="700"/>
      <c r="J290" s="700"/>
      <c r="K290" s="697" t="s">
        <v>544</v>
      </c>
      <c r="L290" s="700"/>
      <c r="M290" s="700"/>
      <c r="N290" s="700"/>
      <c r="O290" s="700"/>
      <c r="P290" s="701"/>
      <c r="Q290" s="701"/>
      <c r="R290" s="701"/>
      <c r="S290" s="701"/>
      <c r="T290" s="708"/>
    </row>
    <row r="291" spans="1:20" hidden="1">
      <c r="A291" s="686" t="s">
        <v>459</v>
      </c>
      <c r="B291" s="687" t="s">
        <v>460</v>
      </c>
      <c r="C291" s="687">
        <v>17136</v>
      </c>
      <c r="D291" s="689">
        <f>'[2]总投资-发采购-0411-GLP拆分场外费用(司调)'!G273</f>
        <v>565.54849999999999</v>
      </c>
      <c r="E291" s="685">
        <f t="shared" si="26"/>
        <v>79.542686357243312</v>
      </c>
      <c r="F291" s="685">
        <f t="shared" si="19"/>
        <v>79.542686357243312</v>
      </c>
      <c r="G291" s="685">
        <f t="shared" si="23"/>
        <v>565.54849999999999</v>
      </c>
      <c r="H291" s="606" t="s">
        <v>61</v>
      </c>
      <c r="I291" s="700"/>
      <c r="J291" s="700"/>
      <c r="K291" s="697" t="s">
        <v>544</v>
      </c>
      <c r="L291" s="700"/>
      <c r="M291" s="700"/>
      <c r="N291" s="700"/>
      <c r="O291" s="700"/>
      <c r="P291" s="701"/>
      <c r="Q291" s="701"/>
      <c r="R291" s="701"/>
      <c r="S291" s="701"/>
      <c r="T291" s="708"/>
    </row>
    <row r="292" spans="1:20" hidden="1">
      <c r="A292" s="686" t="s">
        <v>461</v>
      </c>
      <c r="B292" s="687" t="s">
        <v>462</v>
      </c>
      <c r="C292" s="687">
        <v>23262.43</v>
      </c>
      <c r="D292" s="689">
        <f>'[2]总投资-发采购-0411-GLP拆分场外费用(司调)'!G274</f>
        <v>767.59100000000001</v>
      </c>
      <c r="E292" s="685">
        <f t="shared" si="26"/>
        <v>107.95935302390998</v>
      </c>
      <c r="F292" s="685">
        <f t="shared" si="19"/>
        <v>107.95935302390998</v>
      </c>
      <c r="G292" s="685">
        <f t="shared" si="23"/>
        <v>767.59100000000001</v>
      </c>
      <c r="H292" s="606" t="s">
        <v>61</v>
      </c>
      <c r="I292" s="700"/>
      <c r="J292" s="700"/>
      <c r="K292" s="697" t="s">
        <v>544</v>
      </c>
      <c r="L292" s="700"/>
      <c r="M292" s="700"/>
      <c r="N292" s="700"/>
      <c r="O292" s="700"/>
      <c r="P292" s="701"/>
      <c r="Q292" s="701"/>
      <c r="R292" s="701"/>
      <c r="S292" s="701"/>
      <c r="T292" s="708"/>
    </row>
    <row r="293" spans="1:20" hidden="1">
      <c r="A293" s="686" t="s">
        <v>463</v>
      </c>
      <c r="B293" s="687" t="s">
        <v>763</v>
      </c>
      <c r="C293" s="687">
        <v>10080</v>
      </c>
      <c r="D293" s="689">
        <v>332.65</v>
      </c>
      <c r="E293" s="685">
        <f t="shared" si="26"/>
        <v>46.786216596343174</v>
      </c>
      <c r="F293" s="685">
        <f t="shared" si="19"/>
        <v>46.786216596343174</v>
      </c>
      <c r="G293" s="685">
        <f t="shared" si="23"/>
        <v>332.65</v>
      </c>
      <c r="H293" s="606" t="s">
        <v>61</v>
      </c>
      <c r="I293" s="700"/>
      <c r="J293" s="700"/>
      <c r="K293" s="697" t="s">
        <v>544</v>
      </c>
      <c r="L293" s="700"/>
      <c r="M293" s="700"/>
      <c r="N293" s="700"/>
      <c r="O293" s="700"/>
      <c r="P293" s="701"/>
      <c r="Q293" s="701"/>
      <c r="R293" s="701"/>
      <c r="S293" s="701"/>
      <c r="T293" s="708"/>
    </row>
    <row r="294" spans="1:20" hidden="1">
      <c r="A294" s="686"/>
      <c r="B294" s="750" t="s">
        <v>764</v>
      </c>
      <c r="C294" s="750">
        <f>SUM(C295:C299)</f>
        <v>87936</v>
      </c>
      <c r="D294" s="720">
        <f>SUM(D295:D299)</f>
        <v>2901.75</v>
      </c>
      <c r="E294" s="685">
        <f t="shared" si="26"/>
        <v>408.1223628691983</v>
      </c>
      <c r="F294" s="685">
        <f t="shared" si="19"/>
        <v>408.1223628691983</v>
      </c>
      <c r="G294" s="685">
        <f t="shared" si="23"/>
        <v>2901.75</v>
      </c>
      <c r="H294" s="606" t="s">
        <v>61</v>
      </c>
      <c r="I294" s="700"/>
      <c r="J294" s="700"/>
      <c r="K294" s="697" t="s">
        <v>544</v>
      </c>
      <c r="L294" s="700"/>
      <c r="M294" s="700"/>
      <c r="N294" s="700"/>
      <c r="O294" s="700"/>
      <c r="P294" s="701"/>
      <c r="Q294" s="701"/>
      <c r="R294" s="701"/>
      <c r="S294" s="701"/>
      <c r="T294" s="708"/>
    </row>
    <row r="295" spans="1:20" hidden="1">
      <c r="A295" s="686" t="s">
        <v>415</v>
      </c>
      <c r="B295" s="687" t="s">
        <v>765</v>
      </c>
      <c r="C295" s="687">
        <v>16128</v>
      </c>
      <c r="D295" s="689">
        <v>532.13</v>
      </c>
      <c r="E295" s="685">
        <f t="shared" si="26"/>
        <v>74.842475386779185</v>
      </c>
      <c r="F295" s="685">
        <f t="shared" si="19"/>
        <v>74.842475386779185</v>
      </c>
      <c r="G295" s="685">
        <f t="shared" si="23"/>
        <v>532.13</v>
      </c>
      <c r="H295" s="606" t="s">
        <v>61</v>
      </c>
      <c r="I295" s="700"/>
      <c r="J295" s="700"/>
      <c r="K295" s="697" t="s">
        <v>544</v>
      </c>
      <c r="L295" s="700"/>
      <c r="M295" s="700"/>
      <c r="N295" s="700"/>
      <c r="O295" s="700"/>
      <c r="P295" s="701"/>
      <c r="Q295" s="701"/>
      <c r="R295" s="701"/>
      <c r="S295" s="701"/>
      <c r="T295" s="708"/>
    </row>
    <row r="296" spans="1:20" hidden="1">
      <c r="A296" s="686" t="s">
        <v>417</v>
      </c>
      <c r="B296" s="687" t="s">
        <v>766</v>
      </c>
      <c r="C296" s="687">
        <v>18768</v>
      </c>
      <c r="D296" s="689">
        <v>619.26</v>
      </c>
      <c r="E296" s="685">
        <f t="shared" si="26"/>
        <v>87.097046413502099</v>
      </c>
      <c r="F296" s="685">
        <f t="shared" si="19"/>
        <v>87.097046413502099</v>
      </c>
      <c r="G296" s="685">
        <f t="shared" si="23"/>
        <v>619.26</v>
      </c>
      <c r="H296" s="606" t="s">
        <v>61</v>
      </c>
      <c r="I296" s="700"/>
      <c r="J296" s="700"/>
      <c r="K296" s="697" t="s">
        <v>544</v>
      </c>
      <c r="L296" s="700"/>
      <c r="M296" s="700"/>
      <c r="N296" s="700"/>
      <c r="O296" s="700"/>
      <c r="P296" s="701"/>
      <c r="Q296" s="701"/>
      <c r="R296" s="701"/>
      <c r="S296" s="701"/>
      <c r="T296" s="708"/>
    </row>
    <row r="297" spans="1:20" hidden="1">
      <c r="A297" s="686" t="s">
        <v>419</v>
      </c>
      <c r="B297" s="687" t="s">
        <v>767</v>
      </c>
      <c r="C297" s="687">
        <v>18768</v>
      </c>
      <c r="D297" s="689">
        <v>619.26</v>
      </c>
      <c r="E297" s="685">
        <f t="shared" si="26"/>
        <v>87.097046413502099</v>
      </c>
      <c r="F297" s="685">
        <f t="shared" si="19"/>
        <v>87.097046413502099</v>
      </c>
      <c r="G297" s="685">
        <f t="shared" si="23"/>
        <v>619.26</v>
      </c>
      <c r="H297" s="606" t="s">
        <v>61</v>
      </c>
      <c r="I297" s="700"/>
      <c r="J297" s="700"/>
      <c r="K297" s="697" t="s">
        <v>544</v>
      </c>
      <c r="L297" s="700"/>
      <c r="M297" s="700"/>
      <c r="N297" s="700"/>
      <c r="O297" s="700"/>
      <c r="P297" s="701"/>
      <c r="Q297" s="701"/>
      <c r="R297" s="701"/>
      <c r="S297" s="701"/>
      <c r="T297" s="708"/>
    </row>
    <row r="298" spans="1:20" hidden="1">
      <c r="A298" s="686" t="s">
        <v>421</v>
      </c>
      <c r="B298" s="687" t="s">
        <v>768</v>
      </c>
      <c r="C298" s="687">
        <v>17136</v>
      </c>
      <c r="D298" s="689">
        <v>565.54999999999995</v>
      </c>
      <c r="E298" s="685">
        <f t="shared" si="26"/>
        <v>79.54289732770745</v>
      </c>
      <c r="F298" s="685">
        <f t="shared" si="19"/>
        <v>79.54289732770745</v>
      </c>
      <c r="G298" s="685">
        <f t="shared" si="23"/>
        <v>565.54999999999995</v>
      </c>
      <c r="H298" s="606" t="s">
        <v>61</v>
      </c>
      <c r="I298" s="700"/>
      <c r="J298" s="700"/>
      <c r="K298" s="697" t="s">
        <v>544</v>
      </c>
      <c r="L298" s="700"/>
      <c r="M298" s="700"/>
      <c r="N298" s="700"/>
      <c r="O298" s="700"/>
      <c r="P298" s="701"/>
      <c r="Q298" s="701"/>
      <c r="R298" s="701"/>
      <c r="S298" s="701"/>
      <c r="T298" s="708"/>
    </row>
    <row r="299" spans="1:20" hidden="1">
      <c r="A299" s="686" t="s">
        <v>423</v>
      </c>
      <c r="B299" s="687" t="s">
        <v>769</v>
      </c>
      <c r="C299" s="687">
        <v>17136</v>
      </c>
      <c r="D299" s="689">
        <v>565.54999999999995</v>
      </c>
      <c r="E299" s="685">
        <f t="shared" si="26"/>
        <v>79.54289732770745</v>
      </c>
      <c r="F299" s="685">
        <f t="shared" si="19"/>
        <v>79.54289732770745</v>
      </c>
      <c r="G299" s="685">
        <f t="shared" si="23"/>
        <v>565.54999999999995</v>
      </c>
      <c r="H299" s="606" t="s">
        <v>61</v>
      </c>
      <c r="I299" s="700"/>
      <c r="J299" s="700"/>
      <c r="K299" s="697" t="s">
        <v>544</v>
      </c>
      <c r="L299" s="700"/>
      <c r="M299" s="700"/>
      <c r="N299" s="700"/>
      <c r="O299" s="700"/>
      <c r="P299" s="701"/>
      <c r="Q299" s="701"/>
      <c r="R299" s="701"/>
      <c r="S299" s="701"/>
      <c r="T299" s="708"/>
    </row>
    <row r="300" spans="1:20" hidden="1">
      <c r="A300" s="686"/>
      <c r="B300" s="750" t="s">
        <v>770</v>
      </c>
      <c r="C300" s="750">
        <f ca="1">SUM(C293:C306)</f>
        <v>86214</v>
      </c>
      <c r="D300" s="720">
        <f ca="1">SUM(D293:D306)</f>
        <v>2844.45</v>
      </c>
      <c r="E300" s="685">
        <f t="shared" ca="1" si="26"/>
        <v>961.49055194667903</v>
      </c>
      <c r="F300" s="685">
        <f t="shared" ca="1" si="19"/>
        <v>961.49055194667903</v>
      </c>
      <c r="G300" s="685">
        <f t="shared" ca="1" si="23"/>
        <v>6823.41</v>
      </c>
      <c r="H300" s="606" t="s">
        <v>61</v>
      </c>
      <c r="I300" s="700"/>
      <c r="J300" s="700"/>
      <c r="K300" s="697" t="s">
        <v>544</v>
      </c>
      <c r="L300" s="700"/>
      <c r="M300" s="700"/>
      <c r="N300" s="700"/>
      <c r="O300" s="700"/>
      <c r="P300" s="701"/>
      <c r="Q300" s="701"/>
      <c r="R300" s="701"/>
      <c r="S300" s="701"/>
      <c r="T300" s="708"/>
    </row>
    <row r="301" spans="1:20" hidden="1">
      <c r="A301" s="686" t="s">
        <v>403</v>
      </c>
      <c r="B301" s="687" t="s">
        <v>771</v>
      </c>
      <c r="C301" s="687">
        <v>11022</v>
      </c>
      <c r="D301" s="689">
        <v>363.68</v>
      </c>
      <c r="E301" s="685">
        <f t="shared" si="26"/>
        <v>51.150492264416314</v>
      </c>
      <c r="F301" s="685">
        <f t="shared" si="19"/>
        <v>51.150492264416314</v>
      </c>
      <c r="G301" s="685">
        <f t="shared" si="23"/>
        <v>363.68</v>
      </c>
      <c r="H301" s="606" t="s">
        <v>61</v>
      </c>
      <c r="I301" s="700"/>
      <c r="J301" s="700"/>
      <c r="K301" s="697" t="s">
        <v>544</v>
      </c>
      <c r="L301" s="700"/>
      <c r="M301" s="700"/>
      <c r="N301" s="700"/>
      <c r="O301" s="700"/>
      <c r="P301" s="701"/>
      <c r="Q301" s="701"/>
      <c r="R301" s="701"/>
      <c r="S301" s="701"/>
      <c r="T301" s="708"/>
    </row>
    <row r="302" spans="1:20" hidden="1">
      <c r="A302" s="686" t="s">
        <v>405</v>
      </c>
      <c r="B302" s="687" t="s">
        <v>752</v>
      </c>
      <c r="C302" s="687">
        <v>11707</v>
      </c>
      <c r="D302" s="689">
        <v>386.18</v>
      </c>
      <c r="E302" s="685">
        <f t="shared" si="26"/>
        <v>54.31504922644163</v>
      </c>
      <c r="F302" s="685">
        <f t="shared" si="19"/>
        <v>54.31504922644163</v>
      </c>
      <c r="G302" s="685">
        <f t="shared" si="23"/>
        <v>386.18</v>
      </c>
      <c r="H302" s="606" t="s">
        <v>61</v>
      </c>
      <c r="I302" s="700"/>
      <c r="J302" s="700"/>
      <c r="K302" s="697" t="s">
        <v>544</v>
      </c>
      <c r="L302" s="700"/>
      <c r="M302" s="700"/>
      <c r="N302" s="700"/>
      <c r="O302" s="700"/>
      <c r="P302" s="701"/>
      <c r="Q302" s="701"/>
      <c r="R302" s="701"/>
      <c r="S302" s="701"/>
      <c r="T302" s="708"/>
    </row>
    <row r="303" spans="1:20" hidden="1">
      <c r="A303" s="686" t="s">
        <v>407</v>
      </c>
      <c r="B303" s="687" t="s">
        <v>753</v>
      </c>
      <c r="C303" s="687">
        <v>11707</v>
      </c>
      <c r="D303" s="689">
        <v>386.18</v>
      </c>
      <c r="E303" s="685">
        <f t="shared" si="26"/>
        <v>54.31504922644163</v>
      </c>
      <c r="F303" s="685">
        <f t="shared" si="19"/>
        <v>54.31504922644163</v>
      </c>
      <c r="G303" s="685">
        <f t="shared" si="23"/>
        <v>386.18</v>
      </c>
      <c r="H303" s="606" t="s">
        <v>61</v>
      </c>
      <c r="I303" s="700"/>
      <c r="J303" s="700"/>
      <c r="K303" s="697" t="s">
        <v>544</v>
      </c>
      <c r="L303" s="700"/>
      <c r="M303" s="700"/>
      <c r="N303" s="700"/>
      <c r="O303" s="700"/>
      <c r="P303" s="701"/>
      <c r="Q303" s="701"/>
      <c r="R303" s="701"/>
      <c r="S303" s="701"/>
      <c r="T303" s="708"/>
    </row>
    <row r="304" spans="1:20" hidden="1">
      <c r="A304" s="686" t="s">
        <v>409</v>
      </c>
      <c r="B304" s="687" t="s">
        <v>754</v>
      </c>
      <c r="C304" s="687">
        <v>11707</v>
      </c>
      <c r="D304" s="689">
        <v>386.18</v>
      </c>
      <c r="E304" s="685">
        <f t="shared" si="26"/>
        <v>54.31504922644163</v>
      </c>
      <c r="F304" s="685">
        <f t="shared" si="19"/>
        <v>54.31504922644163</v>
      </c>
      <c r="G304" s="685">
        <f t="shared" si="23"/>
        <v>386.18</v>
      </c>
      <c r="H304" s="606" t="s">
        <v>61</v>
      </c>
      <c r="I304" s="700"/>
      <c r="J304" s="700"/>
      <c r="K304" s="697" t="s">
        <v>544</v>
      </c>
      <c r="L304" s="700"/>
      <c r="M304" s="700"/>
      <c r="N304" s="700"/>
      <c r="O304" s="700"/>
      <c r="P304" s="701"/>
      <c r="Q304" s="701"/>
      <c r="R304" s="701"/>
      <c r="S304" s="701"/>
      <c r="T304" s="708"/>
    </row>
    <row r="305" spans="1:20" hidden="1">
      <c r="A305" s="686" t="s">
        <v>411</v>
      </c>
      <c r="B305" s="687" t="s">
        <v>755</v>
      </c>
      <c r="C305" s="687">
        <v>18327</v>
      </c>
      <c r="D305" s="689">
        <v>604.76</v>
      </c>
      <c r="E305" s="685">
        <f t="shared" si="26"/>
        <v>85.057665260196899</v>
      </c>
      <c r="F305" s="685">
        <f t="shared" si="19"/>
        <v>85.057665260196899</v>
      </c>
      <c r="G305" s="685">
        <f t="shared" si="23"/>
        <v>604.76</v>
      </c>
      <c r="H305" s="606" t="s">
        <v>61</v>
      </c>
      <c r="I305" s="700"/>
      <c r="J305" s="700"/>
      <c r="K305" s="697" t="s">
        <v>544</v>
      </c>
      <c r="L305" s="700"/>
      <c r="M305" s="700"/>
      <c r="N305" s="700"/>
      <c r="O305" s="700"/>
      <c r="P305" s="701"/>
      <c r="Q305" s="701"/>
      <c r="R305" s="701"/>
      <c r="S305" s="701"/>
      <c r="T305" s="708"/>
    </row>
    <row r="306" spans="1:20" hidden="1">
      <c r="A306" s="686" t="s">
        <v>413</v>
      </c>
      <c r="B306" s="687" t="s">
        <v>755</v>
      </c>
      <c r="C306" s="687">
        <v>11664</v>
      </c>
      <c r="D306" s="689">
        <v>384.82</v>
      </c>
      <c r="E306" s="685">
        <f t="shared" si="26"/>
        <v>54.123769338959207</v>
      </c>
      <c r="F306" s="685">
        <f t="shared" si="19"/>
        <v>54.123769338959207</v>
      </c>
      <c r="G306" s="685">
        <f t="shared" si="23"/>
        <v>384.82</v>
      </c>
      <c r="H306" s="606" t="s">
        <v>61</v>
      </c>
      <c r="I306" s="700"/>
      <c r="J306" s="700"/>
      <c r="K306" s="697" t="s">
        <v>544</v>
      </c>
      <c r="L306" s="700"/>
      <c r="M306" s="700"/>
      <c r="N306" s="700"/>
      <c r="O306" s="700"/>
      <c r="P306" s="701"/>
      <c r="Q306" s="701"/>
      <c r="R306" s="701"/>
      <c r="S306" s="701"/>
      <c r="T306" s="708"/>
    </row>
    <row r="307" spans="1:20" ht="26.4">
      <c r="A307" s="606" t="s">
        <v>66</v>
      </c>
      <c r="B307" s="709" t="s">
        <v>795</v>
      </c>
      <c r="C307" s="709" t="s">
        <v>796</v>
      </c>
      <c r="D307" s="712">
        <f>'[2]总投资-发采购-0411-GLP拆分场外费用(司调)'!G251</f>
        <v>3364</v>
      </c>
      <c r="E307" s="712">
        <f t="shared" si="26"/>
        <v>473.1364275668073</v>
      </c>
      <c r="F307" s="712">
        <f t="shared" si="19"/>
        <v>473.1364275668073</v>
      </c>
      <c r="G307" s="712">
        <f t="shared" si="23"/>
        <v>3364</v>
      </c>
      <c r="H307" s="606" t="s">
        <v>61</v>
      </c>
      <c r="I307" s="606" t="s">
        <v>30</v>
      </c>
      <c r="J307" s="606">
        <v>40</v>
      </c>
      <c r="K307" s="697" t="s">
        <v>544</v>
      </c>
      <c r="L307" s="606"/>
      <c r="M307" s="606"/>
      <c r="N307" s="606"/>
      <c r="O307" s="606"/>
      <c r="P307" s="738" t="s">
        <v>181</v>
      </c>
      <c r="Q307" s="738" t="s">
        <v>428</v>
      </c>
      <c r="R307" s="738" t="s">
        <v>517</v>
      </c>
      <c r="S307" s="738" t="s">
        <v>228</v>
      </c>
      <c r="T307" s="697"/>
    </row>
    <row r="308" spans="1:20">
      <c r="A308" s="606" t="s">
        <v>69</v>
      </c>
      <c r="B308" s="683" t="s">
        <v>654</v>
      </c>
      <c r="C308" s="683" t="s">
        <v>797</v>
      </c>
      <c r="D308" s="712">
        <f>'[2]总投资-发采购-0411-GLP拆分场外费用(司调)'!G287</f>
        <v>4000</v>
      </c>
      <c r="E308" s="685">
        <f t="shared" si="26"/>
        <v>562.5879043600562</v>
      </c>
      <c r="F308" s="685">
        <f t="shared" si="19"/>
        <v>562.5879043600562</v>
      </c>
      <c r="G308" s="685">
        <f t="shared" si="23"/>
        <v>4000</v>
      </c>
      <c r="H308" s="606" t="s">
        <v>61</v>
      </c>
      <c r="I308" s="606" t="s">
        <v>30</v>
      </c>
      <c r="J308" s="606">
        <v>40</v>
      </c>
      <c r="K308" s="697" t="s">
        <v>544</v>
      </c>
      <c r="L308" s="606"/>
      <c r="M308" s="606"/>
      <c r="N308" s="606"/>
      <c r="O308" s="606"/>
      <c r="P308" s="738" t="s">
        <v>181</v>
      </c>
      <c r="Q308" s="738" t="s">
        <v>428</v>
      </c>
      <c r="R308" s="738" t="s">
        <v>517</v>
      </c>
      <c r="S308" s="738" t="s">
        <v>228</v>
      </c>
      <c r="T308" s="697"/>
    </row>
    <row r="309" spans="1:20" hidden="1">
      <c r="A309" s="751"/>
      <c r="B309" s="687">
        <v>4.2</v>
      </c>
      <c r="C309" s="687" t="s">
        <v>774</v>
      </c>
      <c r="D309" s="689">
        <f>[2]总投资20240410!F355</f>
        <v>4000</v>
      </c>
      <c r="E309" s="752"/>
      <c r="F309" s="752"/>
      <c r="G309" s="752">
        <f t="shared" si="23"/>
        <v>4000</v>
      </c>
      <c r="H309" s="606" t="s">
        <v>61</v>
      </c>
      <c r="I309" s="606"/>
      <c r="J309" s="715"/>
      <c r="K309" s="697" t="s">
        <v>544</v>
      </c>
      <c r="L309" s="606"/>
      <c r="M309" s="606"/>
      <c r="N309" s="606"/>
      <c r="O309" s="606"/>
      <c r="P309" s="738"/>
      <c r="Q309" s="738"/>
      <c r="R309" s="738"/>
      <c r="S309" s="738"/>
      <c r="T309" s="697"/>
    </row>
    <row r="310" spans="1:20" ht="92.4">
      <c r="A310" s="606" t="s">
        <v>72</v>
      </c>
      <c r="B310" s="683" t="s">
        <v>656</v>
      </c>
      <c r="C310" s="683" t="s">
        <v>798</v>
      </c>
      <c r="D310" s="712">
        <f>'[2]总投资-发采购-0411-GLP拆分场外费用(司调)'!G288</f>
        <v>18818.98</v>
      </c>
      <c r="E310" s="685">
        <f>D310/$A$3</f>
        <v>2646.8326300984527</v>
      </c>
      <c r="F310" s="685">
        <f t="shared" ref="F310:F311" si="27">E310</f>
        <v>2646.8326300984527</v>
      </c>
      <c r="G310" s="685">
        <f t="shared" si="23"/>
        <v>18818.98</v>
      </c>
      <c r="H310" s="606" t="s">
        <v>61</v>
      </c>
      <c r="I310" s="606" t="s">
        <v>658</v>
      </c>
      <c r="J310" s="715">
        <v>40</v>
      </c>
      <c r="K310" s="697" t="s">
        <v>31</v>
      </c>
      <c r="L310" s="606" t="s">
        <v>135</v>
      </c>
      <c r="M310" s="606"/>
      <c r="N310" s="606"/>
      <c r="O310" s="606"/>
      <c r="P310" s="738" t="s">
        <v>181</v>
      </c>
      <c r="Q310" s="738" t="s">
        <v>428</v>
      </c>
      <c r="R310" s="738" t="s">
        <v>517</v>
      </c>
      <c r="S310" s="738" t="s">
        <v>228</v>
      </c>
      <c r="T310" s="697"/>
    </row>
    <row r="311" spans="1:20" hidden="1">
      <c r="A311" s="753">
        <v>4.3</v>
      </c>
      <c r="B311" s="690" t="s">
        <v>479</v>
      </c>
      <c r="C311" s="690"/>
      <c r="D311" s="689">
        <f>'[2]总投资-发采购-0411-GLP拆分场外费用(司调)'!G288</f>
        <v>18818.98</v>
      </c>
      <c r="E311" s="752">
        <f>D311/$A$3</f>
        <v>2646.8326300984527</v>
      </c>
      <c r="F311" s="752">
        <f t="shared" si="27"/>
        <v>2646.8326300984527</v>
      </c>
      <c r="G311" s="752">
        <f t="shared" si="23"/>
        <v>18818.98</v>
      </c>
      <c r="H311" s="606"/>
      <c r="I311" s="606"/>
      <c r="J311" s="715"/>
      <c r="K311" s="697"/>
      <c r="L311" s="606"/>
      <c r="M311" s="606"/>
      <c r="N311" s="606"/>
      <c r="O311" s="606"/>
      <c r="P311" s="738"/>
      <c r="Q311" s="738"/>
      <c r="R311" s="738"/>
      <c r="S311" s="698"/>
      <c r="T311" s="697"/>
    </row>
    <row r="312" spans="1:20" hidden="1">
      <c r="A312" s="753" t="s">
        <v>481</v>
      </c>
      <c r="B312" s="690" t="s">
        <v>482</v>
      </c>
      <c r="C312" s="690"/>
      <c r="D312" s="689">
        <f>'[2]总投资-发采购-0411-GLP拆分场外费用(司调)'!G289</f>
        <v>3355</v>
      </c>
      <c r="E312" s="752">
        <f t="shared" ref="E312:E323" si="28">D312/$A$3</f>
        <v>471.87060478199714</v>
      </c>
      <c r="F312" s="752">
        <f t="shared" ref="F312:F323" si="29">E312</f>
        <v>471.87060478199714</v>
      </c>
      <c r="G312" s="752">
        <f t="shared" ref="G312:G323" si="30">D312</f>
        <v>3355</v>
      </c>
      <c r="H312" s="606"/>
      <c r="I312" s="606"/>
      <c r="J312" s="715"/>
      <c r="K312" s="697"/>
      <c r="L312" s="606"/>
      <c r="M312" s="606"/>
      <c r="N312" s="606"/>
      <c r="O312" s="606"/>
      <c r="P312" s="738"/>
      <c r="Q312" s="738"/>
      <c r="R312" s="738"/>
      <c r="S312" s="698"/>
      <c r="T312" s="697"/>
    </row>
    <row r="313" spans="1:20" hidden="1">
      <c r="A313" s="753" t="s">
        <v>483</v>
      </c>
      <c r="B313" s="690" t="s">
        <v>484</v>
      </c>
      <c r="C313" s="690"/>
      <c r="D313" s="689">
        <f>'[2]总投资-发采购-0411-GLP拆分场外费用(司调)'!G290</f>
        <v>920</v>
      </c>
      <c r="E313" s="752">
        <f t="shared" si="28"/>
        <v>129.39521800281292</v>
      </c>
      <c r="F313" s="752">
        <f t="shared" si="29"/>
        <v>129.39521800281292</v>
      </c>
      <c r="G313" s="752">
        <f t="shared" si="30"/>
        <v>920</v>
      </c>
      <c r="H313" s="606"/>
      <c r="I313" s="606"/>
      <c r="J313" s="715"/>
      <c r="K313" s="697"/>
      <c r="L313" s="606"/>
      <c r="M313" s="606"/>
      <c r="N313" s="606"/>
      <c r="O313" s="606"/>
      <c r="P313" s="738"/>
      <c r="Q313" s="738"/>
      <c r="R313" s="738"/>
      <c r="S313" s="698"/>
      <c r="T313" s="697"/>
    </row>
    <row r="314" spans="1:20" hidden="1">
      <c r="A314" s="753" t="s">
        <v>485</v>
      </c>
      <c r="B314" s="690" t="s">
        <v>486</v>
      </c>
      <c r="C314" s="690"/>
      <c r="D314" s="689">
        <f>'[2]总投资-发采购-0411-GLP拆分场外费用(司调)'!G291</f>
        <v>3160</v>
      </c>
      <c r="E314" s="752">
        <f t="shared" si="28"/>
        <v>444.4444444444444</v>
      </c>
      <c r="F314" s="752">
        <f t="shared" si="29"/>
        <v>444.4444444444444</v>
      </c>
      <c r="G314" s="752">
        <f t="shared" si="30"/>
        <v>3160</v>
      </c>
      <c r="H314" s="606"/>
      <c r="I314" s="606"/>
      <c r="J314" s="715"/>
      <c r="K314" s="697"/>
      <c r="L314" s="606"/>
      <c r="M314" s="606"/>
      <c r="N314" s="606"/>
      <c r="O314" s="606"/>
      <c r="P314" s="738"/>
      <c r="Q314" s="738"/>
      <c r="R314" s="738"/>
      <c r="S314" s="698"/>
      <c r="T314" s="697"/>
    </row>
    <row r="315" spans="1:20" hidden="1">
      <c r="A315" s="753" t="s">
        <v>487</v>
      </c>
      <c r="B315" s="690" t="s">
        <v>488</v>
      </c>
      <c r="C315" s="690"/>
      <c r="D315" s="689">
        <f>'[2]总投资-发采购-0411-GLP拆分场外费用(司调)'!G292</f>
        <v>2100</v>
      </c>
      <c r="E315" s="752">
        <f t="shared" si="28"/>
        <v>295.35864978902953</v>
      </c>
      <c r="F315" s="752">
        <f t="shared" si="29"/>
        <v>295.35864978902953</v>
      </c>
      <c r="G315" s="752">
        <f t="shared" si="30"/>
        <v>2100</v>
      </c>
      <c r="H315" s="606"/>
      <c r="I315" s="606"/>
      <c r="J315" s="715"/>
      <c r="K315" s="697"/>
      <c r="L315" s="606"/>
      <c r="M315" s="606"/>
      <c r="N315" s="606"/>
      <c r="O315" s="606"/>
      <c r="P315" s="738"/>
      <c r="Q315" s="738"/>
      <c r="R315" s="738"/>
      <c r="S315" s="698"/>
      <c r="T315" s="697"/>
    </row>
    <row r="316" spans="1:20" hidden="1">
      <c r="A316" s="753" t="s">
        <v>489</v>
      </c>
      <c r="B316" s="690" t="s">
        <v>490</v>
      </c>
      <c r="C316" s="690"/>
      <c r="D316" s="689">
        <f>'[2]总投资-发采购-0411-GLP拆分场外费用(司调)'!G293</f>
        <v>341.9</v>
      </c>
      <c r="E316" s="752">
        <f t="shared" si="28"/>
        <v>48.087201125175802</v>
      </c>
      <c r="F316" s="752">
        <f t="shared" si="29"/>
        <v>48.087201125175802</v>
      </c>
      <c r="G316" s="752">
        <f t="shared" si="30"/>
        <v>341.9</v>
      </c>
      <c r="H316" s="606"/>
      <c r="I316" s="606"/>
      <c r="J316" s="715"/>
      <c r="K316" s="697"/>
      <c r="L316" s="606"/>
      <c r="M316" s="606"/>
      <c r="N316" s="606"/>
      <c r="O316" s="606"/>
      <c r="P316" s="738"/>
      <c r="Q316" s="738"/>
      <c r="R316" s="738"/>
      <c r="S316" s="698"/>
      <c r="T316" s="697"/>
    </row>
    <row r="317" spans="1:20" hidden="1">
      <c r="A317" s="753" t="s">
        <v>491</v>
      </c>
      <c r="B317" s="690" t="s">
        <v>492</v>
      </c>
      <c r="C317" s="690"/>
      <c r="D317" s="689">
        <f>'[2]总投资-发采购-0411-GLP拆分场外费用(司调)'!G294</f>
        <v>656.15</v>
      </c>
      <c r="E317" s="752">
        <f t="shared" si="28"/>
        <v>92.285513361462719</v>
      </c>
      <c r="F317" s="752">
        <f t="shared" si="29"/>
        <v>92.285513361462719</v>
      </c>
      <c r="G317" s="752">
        <f t="shared" si="30"/>
        <v>656.15</v>
      </c>
      <c r="H317" s="606"/>
      <c r="I317" s="606"/>
      <c r="J317" s="715"/>
      <c r="K317" s="697"/>
      <c r="L317" s="606"/>
      <c r="M317" s="606"/>
      <c r="N317" s="606"/>
      <c r="O317" s="606"/>
      <c r="P317" s="738"/>
      <c r="Q317" s="738"/>
      <c r="R317" s="738"/>
      <c r="S317" s="698"/>
      <c r="T317" s="697"/>
    </row>
    <row r="318" spans="1:20" hidden="1">
      <c r="A318" s="753" t="s">
        <v>493</v>
      </c>
      <c r="B318" s="690" t="s">
        <v>494</v>
      </c>
      <c r="C318" s="690"/>
      <c r="D318" s="689">
        <f>'[2]总投资-发采购-0411-GLP拆分场外费用(司调)'!G295</f>
        <v>355.67</v>
      </c>
      <c r="E318" s="752">
        <f t="shared" si="28"/>
        <v>50.023909985935305</v>
      </c>
      <c r="F318" s="752">
        <f t="shared" si="29"/>
        <v>50.023909985935305</v>
      </c>
      <c r="G318" s="752">
        <f t="shared" si="30"/>
        <v>355.67</v>
      </c>
      <c r="H318" s="606"/>
      <c r="I318" s="606"/>
      <c r="J318" s="715"/>
      <c r="K318" s="697"/>
      <c r="L318" s="606"/>
      <c r="M318" s="606"/>
      <c r="N318" s="606"/>
      <c r="O318" s="606"/>
      <c r="P318" s="738"/>
      <c r="Q318" s="738"/>
      <c r="R318" s="738"/>
      <c r="S318" s="698"/>
      <c r="T318" s="697"/>
    </row>
    <row r="319" spans="1:20" hidden="1">
      <c r="A319" s="753" t="s">
        <v>495</v>
      </c>
      <c r="B319" s="690" t="s">
        <v>496</v>
      </c>
      <c r="C319" s="690"/>
      <c r="D319" s="689">
        <f>'[2]总投资-发采购-0411-GLP拆分场外费用(司调)'!G296</f>
        <v>211.46</v>
      </c>
      <c r="E319" s="752">
        <f t="shared" si="28"/>
        <v>29.741209563994374</v>
      </c>
      <c r="F319" s="752">
        <f t="shared" si="29"/>
        <v>29.741209563994374</v>
      </c>
      <c r="G319" s="752">
        <f t="shared" si="30"/>
        <v>211.46</v>
      </c>
      <c r="H319" s="606"/>
      <c r="I319" s="606"/>
      <c r="J319" s="715"/>
      <c r="K319" s="697"/>
      <c r="L319" s="606"/>
      <c r="M319" s="606"/>
      <c r="N319" s="606"/>
      <c r="O319" s="606"/>
      <c r="P319" s="738"/>
      <c r="Q319" s="738"/>
      <c r="R319" s="738"/>
      <c r="S319" s="698"/>
      <c r="T319" s="697"/>
    </row>
    <row r="320" spans="1:20" hidden="1">
      <c r="A320" s="753" t="s">
        <v>497</v>
      </c>
      <c r="B320" s="690" t="s">
        <v>498</v>
      </c>
      <c r="C320" s="690"/>
      <c r="D320" s="689">
        <f>'[2]总投资-发采购-0411-GLP拆分场外费用(司调)'!G297</f>
        <v>33.6</v>
      </c>
      <c r="E320" s="752">
        <f t="shared" si="28"/>
        <v>4.7257383966244726</v>
      </c>
      <c r="F320" s="752">
        <f t="shared" si="29"/>
        <v>4.7257383966244726</v>
      </c>
      <c r="G320" s="752">
        <f t="shared" si="30"/>
        <v>33.6</v>
      </c>
      <c r="H320" s="606"/>
      <c r="I320" s="606"/>
      <c r="J320" s="715"/>
      <c r="K320" s="697"/>
      <c r="L320" s="606"/>
      <c r="M320" s="606"/>
      <c r="N320" s="606"/>
      <c r="O320" s="606"/>
      <c r="P320" s="738"/>
      <c r="Q320" s="738"/>
      <c r="R320" s="738"/>
      <c r="S320" s="698"/>
      <c r="T320" s="697"/>
    </row>
    <row r="321" spans="1:20" hidden="1">
      <c r="A321" s="753" t="s">
        <v>499</v>
      </c>
      <c r="B321" s="690" t="s">
        <v>500</v>
      </c>
      <c r="C321" s="690"/>
      <c r="D321" s="689">
        <f>'[2]总投资-发采购-0411-GLP拆分场外费用(司调)'!G298</f>
        <v>333.3</v>
      </c>
      <c r="E321" s="752">
        <f t="shared" si="28"/>
        <v>46.877637130801688</v>
      </c>
      <c r="F321" s="752">
        <f t="shared" si="29"/>
        <v>46.877637130801688</v>
      </c>
      <c r="G321" s="752">
        <f t="shared" si="30"/>
        <v>333.3</v>
      </c>
      <c r="H321" s="606"/>
      <c r="I321" s="606"/>
      <c r="J321" s="715"/>
      <c r="K321" s="697"/>
      <c r="L321" s="606"/>
      <c r="M321" s="606"/>
      <c r="N321" s="606"/>
      <c r="O321" s="606"/>
      <c r="P321" s="738"/>
      <c r="Q321" s="738"/>
      <c r="R321" s="738"/>
      <c r="S321" s="698"/>
      <c r="T321" s="697"/>
    </row>
    <row r="322" spans="1:20" hidden="1">
      <c r="A322" s="753" t="s">
        <v>501</v>
      </c>
      <c r="B322" s="690" t="s">
        <v>502</v>
      </c>
      <c r="C322" s="690"/>
      <c r="D322" s="689">
        <f>'[2]总投资-发采购-0411-GLP拆分场外费用(司调)'!G299</f>
        <v>7000</v>
      </c>
      <c r="E322" s="752">
        <f t="shared" si="28"/>
        <v>984.52883263009846</v>
      </c>
      <c r="F322" s="752">
        <f t="shared" si="29"/>
        <v>984.52883263009846</v>
      </c>
      <c r="G322" s="752">
        <f t="shared" si="30"/>
        <v>7000</v>
      </c>
      <c r="H322" s="606"/>
      <c r="I322" s="606"/>
      <c r="J322" s="715"/>
      <c r="K322" s="697"/>
      <c r="L322" s="606"/>
      <c r="M322" s="606"/>
      <c r="N322" s="606"/>
      <c r="O322" s="606"/>
      <c r="P322" s="738"/>
      <c r="Q322" s="738"/>
      <c r="R322" s="738"/>
      <c r="S322" s="698"/>
      <c r="T322" s="697"/>
    </row>
    <row r="323" spans="1:20" hidden="1">
      <c r="A323" s="753" t="s">
        <v>503</v>
      </c>
      <c r="B323" s="690" t="s">
        <v>504</v>
      </c>
      <c r="C323" s="690"/>
      <c r="D323" s="689">
        <f>'[2]总投资-发采购-0411-GLP拆分场外费用(司调)'!G300</f>
        <v>351.9</v>
      </c>
      <c r="E323" s="752">
        <f t="shared" si="28"/>
        <v>49.493670886075947</v>
      </c>
      <c r="F323" s="752">
        <f t="shared" si="29"/>
        <v>49.493670886075947</v>
      </c>
      <c r="G323" s="752">
        <f t="shared" si="30"/>
        <v>351.9</v>
      </c>
      <c r="H323" s="606"/>
      <c r="I323" s="606"/>
      <c r="J323" s="715"/>
      <c r="K323" s="697"/>
      <c r="L323" s="606"/>
      <c r="M323" s="606"/>
      <c r="N323" s="606"/>
      <c r="O323" s="606"/>
      <c r="P323" s="738"/>
      <c r="Q323" s="738"/>
      <c r="R323" s="738"/>
      <c r="S323" s="698"/>
      <c r="T323" s="697"/>
    </row>
    <row r="324" spans="1:20">
      <c r="A324" s="1075" t="s">
        <v>104</v>
      </c>
      <c r="B324" s="1076"/>
      <c r="C324" s="1077"/>
      <c r="D324" s="713">
        <f>SUM(D244,D262,D263,D275,D307,D308,D310)</f>
        <v>78732.785499999998</v>
      </c>
      <c r="E324" s="713">
        <f>SUM(E244,E262,E263,E275,E308,E307,E310)</f>
        <v>11073.528199718705</v>
      </c>
      <c r="F324" s="713">
        <f>SUM(F244,F262,F263,F275,F308,F310)</f>
        <v>10600.391772151896</v>
      </c>
      <c r="G324" s="713">
        <f>SUM(G244,G262,G263,G275,G308,G310)</f>
        <v>75368.785499999998</v>
      </c>
      <c r="H324" s="606"/>
      <c r="I324" s="606"/>
      <c r="J324" s="715"/>
      <c r="K324" s="697"/>
      <c r="L324" s="606"/>
      <c r="M324" s="606"/>
      <c r="N324" s="606"/>
      <c r="O324" s="606"/>
      <c r="P324" s="738"/>
      <c r="Q324" s="738"/>
      <c r="R324" s="738"/>
      <c r="S324" s="698"/>
      <c r="T324" s="697"/>
    </row>
    <row r="325" spans="1:20">
      <c r="A325" s="678" t="s">
        <v>83</v>
      </c>
      <c r="B325" s="756" t="s">
        <v>84</v>
      </c>
      <c r="C325" s="680"/>
      <c r="D325" s="681"/>
      <c r="E325" s="682"/>
      <c r="F325" s="681"/>
      <c r="G325" s="681"/>
      <c r="H325" s="680"/>
      <c r="I325" s="680"/>
      <c r="J325" s="680"/>
      <c r="K325" s="680"/>
      <c r="L325" s="680"/>
      <c r="M325" s="680"/>
      <c r="N325" s="680"/>
      <c r="O325" s="680"/>
      <c r="P325" s="680"/>
      <c r="Q325" s="680"/>
      <c r="R325" s="705"/>
      <c r="S325" s="680"/>
      <c r="T325" s="706"/>
    </row>
    <row r="326" spans="1:20" ht="26.4">
      <c r="A326" s="727" t="s">
        <v>85</v>
      </c>
      <c r="B326" s="757" t="s">
        <v>86</v>
      </c>
      <c r="C326" s="757" t="s">
        <v>659</v>
      </c>
      <c r="D326" s="730">
        <f>'[2]总投资-发采购-0411-GLP拆分场外费用(司调)'!G333</f>
        <v>1000</v>
      </c>
      <c r="E326" s="730">
        <f>D326/$A$3</f>
        <v>140.64697609001405</v>
      </c>
      <c r="F326" s="730">
        <f>E326</f>
        <v>140.64697609001405</v>
      </c>
      <c r="G326" s="730">
        <f>D326</f>
        <v>1000</v>
      </c>
      <c r="H326" s="739" t="s">
        <v>88</v>
      </c>
      <c r="I326" s="727" t="s">
        <v>89</v>
      </c>
      <c r="J326" s="763">
        <v>51</v>
      </c>
      <c r="K326" s="739" t="s">
        <v>31</v>
      </c>
      <c r="L326" s="727"/>
      <c r="M326" s="727" t="s">
        <v>794</v>
      </c>
      <c r="N326" s="727"/>
      <c r="O326" s="727"/>
      <c r="P326" s="740">
        <v>2024.9</v>
      </c>
      <c r="Q326" s="740" t="s">
        <v>738</v>
      </c>
      <c r="R326" s="740" t="s">
        <v>739</v>
      </c>
      <c r="S326" s="766">
        <v>2028.12</v>
      </c>
      <c r="T326" s="739"/>
    </row>
    <row r="327" spans="1:20" ht="26.4">
      <c r="A327" s="727" t="s">
        <v>511</v>
      </c>
      <c r="B327" s="757" t="s">
        <v>660</v>
      </c>
      <c r="C327" s="757" t="s">
        <v>661</v>
      </c>
      <c r="D327" s="730">
        <f>'[2]总投资-发采购-0411-GLP拆分场外费用(司调)'!G334</f>
        <v>1000</v>
      </c>
      <c r="E327" s="730">
        <f>D327/$A$3</f>
        <v>140.64697609001405</v>
      </c>
      <c r="F327" s="730">
        <f>E327</f>
        <v>140.64697609001405</v>
      </c>
      <c r="G327" s="730">
        <f>D327</f>
        <v>1000</v>
      </c>
      <c r="H327" s="739" t="s">
        <v>88</v>
      </c>
      <c r="I327" s="727" t="s">
        <v>89</v>
      </c>
      <c r="J327" s="763">
        <v>51</v>
      </c>
      <c r="K327" s="739" t="s">
        <v>31</v>
      </c>
      <c r="L327" s="727"/>
      <c r="M327" s="727" t="s">
        <v>794</v>
      </c>
      <c r="N327" s="727"/>
      <c r="O327" s="727"/>
      <c r="P327" s="740">
        <v>2024.9</v>
      </c>
      <c r="Q327" s="740" t="s">
        <v>738</v>
      </c>
      <c r="R327" s="740" t="s">
        <v>739</v>
      </c>
      <c r="S327" s="766">
        <v>2028.12</v>
      </c>
      <c r="T327" s="739"/>
    </row>
    <row r="328" spans="1:20">
      <c r="A328" s="606" t="s">
        <v>514</v>
      </c>
      <c r="B328" s="683" t="s">
        <v>799</v>
      </c>
      <c r="C328" s="683" t="s">
        <v>800</v>
      </c>
      <c r="D328" s="712">
        <f>'[2]总投资-发采购-0411-GLP拆分场外费用(司调)'!G331</f>
        <v>761</v>
      </c>
      <c r="E328" s="712">
        <f>D328/$A$3</f>
        <v>107.0323488045007</v>
      </c>
      <c r="F328" s="712">
        <f>E328</f>
        <v>107.0323488045007</v>
      </c>
      <c r="G328" s="712">
        <f>D328</f>
        <v>761</v>
      </c>
      <c r="H328" s="697" t="s">
        <v>88</v>
      </c>
      <c r="I328" s="606" t="s">
        <v>89</v>
      </c>
      <c r="J328" s="715">
        <v>42</v>
      </c>
      <c r="K328" s="697" t="s">
        <v>31</v>
      </c>
      <c r="L328" s="606"/>
      <c r="M328" s="606"/>
      <c r="N328" s="606"/>
      <c r="O328" s="606"/>
      <c r="P328" s="738" t="s">
        <v>181</v>
      </c>
      <c r="Q328" s="738" t="s">
        <v>428</v>
      </c>
      <c r="R328" s="738" t="s">
        <v>517</v>
      </c>
      <c r="S328" s="698">
        <v>2028.12</v>
      </c>
      <c r="T328" s="697"/>
    </row>
    <row r="329" spans="1:20">
      <c r="A329" s="606" t="s">
        <v>91</v>
      </c>
      <c r="B329" s="683" t="s">
        <v>801</v>
      </c>
      <c r="C329" s="683" t="s">
        <v>802</v>
      </c>
      <c r="D329" s="712">
        <f>'[2]总投资-发采购-0411-GLP拆分场外费用(司调)'!G332</f>
        <v>116</v>
      </c>
      <c r="E329" s="712">
        <f t="shared" ref="E329:E331" si="31">D329/$A$3</f>
        <v>16.31504922644163</v>
      </c>
      <c r="F329" s="712">
        <f t="shared" ref="F329:F331" si="32">E329</f>
        <v>16.31504922644163</v>
      </c>
      <c r="G329" s="712">
        <f t="shared" ref="G329:G331" si="33">D329</f>
        <v>116</v>
      </c>
      <c r="H329" s="697" t="s">
        <v>88</v>
      </c>
      <c r="I329" s="606" t="s">
        <v>97</v>
      </c>
      <c r="J329" s="715">
        <v>42</v>
      </c>
      <c r="K329" s="697" t="s">
        <v>544</v>
      </c>
      <c r="L329" s="606"/>
      <c r="M329" s="606"/>
      <c r="N329" s="606"/>
      <c r="O329" s="606"/>
      <c r="P329" s="738" t="s">
        <v>181</v>
      </c>
      <c r="Q329" s="738" t="s">
        <v>428</v>
      </c>
      <c r="R329" s="738" t="s">
        <v>517</v>
      </c>
      <c r="S329" s="698">
        <v>2028.12</v>
      </c>
      <c r="T329" s="697"/>
    </row>
    <row r="330" spans="1:20">
      <c r="A330" s="606" t="s">
        <v>94</v>
      </c>
      <c r="B330" s="683" t="s">
        <v>803</v>
      </c>
      <c r="C330" s="683" t="s">
        <v>804</v>
      </c>
      <c r="D330" s="712">
        <f>'[2]总投资-发采购-0411-GLP拆分场外费用(司调)'!G335</f>
        <v>1000</v>
      </c>
      <c r="E330" s="712">
        <f t="shared" si="31"/>
        <v>140.64697609001405</v>
      </c>
      <c r="F330" s="712">
        <f t="shared" si="32"/>
        <v>140.64697609001405</v>
      </c>
      <c r="G330" s="712">
        <f t="shared" si="33"/>
        <v>1000</v>
      </c>
      <c r="H330" s="697" t="s">
        <v>88</v>
      </c>
      <c r="I330" s="606" t="s">
        <v>89</v>
      </c>
      <c r="J330" s="715">
        <v>42</v>
      </c>
      <c r="K330" s="697" t="s">
        <v>31</v>
      </c>
      <c r="L330" s="606"/>
      <c r="M330" s="697"/>
      <c r="N330" s="606"/>
      <c r="O330" s="606"/>
      <c r="P330" s="738" t="s">
        <v>181</v>
      </c>
      <c r="Q330" s="738" t="s">
        <v>428</v>
      </c>
      <c r="R330" s="738" t="s">
        <v>517</v>
      </c>
      <c r="S330" s="698">
        <v>2028.12</v>
      </c>
      <c r="T330" s="697"/>
    </row>
    <row r="331" spans="1:20">
      <c r="A331" s="1075" t="s">
        <v>104</v>
      </c>
      <c r="B331" s="1076"/>
      <c r="C331" s="1077"/>
      <c r="D331" s="713">
        <f>SUM(D326:D330)</f>
        <v>3877</v>
      </c>
      <c r="E331" s="713">
        <f t="shared" si="31"/>
        <v>545.28832630098452</v>
      </c>
      <c r="F331" s="713">
        <f t="shared" si="32"/>
        <v>545.28832630098452</v>
      </c>
      <c r="G331" s="713">
        <f t="shared" si="33"/>
        <v>3877</v>
      </c>
      <c r="H331" s="606"/>
      <c r="I331" s="606"/>
      <c r="J331" s="715"/>
      <c r="K331" s="697"/>
      <c r="L331" s="606"/>
      <c r="M331" s="606"/>
      <c r="N331" s="606"/>
      <c r="O331" s="606"/>
      <c r="P331" s="606"/>
      <c r="Q331" s="606"/>
      <c r="R331" s="738"/>
      <c r="S331" s="742"/>
      <c r="T331" s="697"/>
    </row>
    <row r="332" spans="1:20">
      <c r="A332" s="606"/>
      <c r="B332" s="758"/>
      <c r="C332" s="758"/>
      <c r="D332" s="712"/>
      <c r="E332" s="712"/>
      <c r="F332" s="712"/>
      <c r="G332" s="712"/>
      <c r="H332" s="606"/>
      <c r="I332" s="606"/>
      <c r="J332" s="715"/>
      <c r="K332" s="697"/>
      <c r="L332" s="606"/>
      <c r="M332" s="606"/>
      <c r="N332" s="606"/>
      <c r="O332" s="606"/>
      <c r="P332" s="606"/>
      <c r="Q332" s="606"/>
      <c r="R332" s="738"/>
      <c r="S332" s="742"/>
      <c r="T332" s="697"/>
    </row>
    <row r="333" spans="1:20">
      <c r="A333" s="1104" t="s">
        <v>671</v>
      </c>
      <c r="B333" s="1083"/>
      <c r="C333" s="1084"/>
      <c r="D333" s="759">
        <f>SUM(D211,D242,D324,D331)</f>
        <v>285045.69573175302</v>
      </c>
      <c r="E333" s="759">
        <f>D333/A3</f>
        <v>40090.815152145289</v>
      </c>
      <c r="F333" s="759">
        <f>E333</f>
        <v>40090.815152145289</v>
      </c>
      <c r="G333" s="759">
        <f>D333</f>
        <v>285045.69573175302</v>
      </c>
      <c r="H333" s="706"/>
      <c r="I333" s="706"/>
      <c r="J333" s="764"/>
      <c r="K333" s="765"/>
      <c r="L333" s="706"/>
      <c r="M333" s="706"/>
      <c r="N333" s="706"/>
      <c r="O333" s="706"/>
      <c r="P333" s="706"/>
      <c r="Q333" s="706"/>
      <c r="R333" s="767"/>
      <c r="S333" s="768"/>
      <c r="T333" s="765"/>
    </row>
    <row r="335" spans="1:20">
      <c r="C335" s="760" t="s">
        <v>524</v>
      </c>
      <c r="D335" s="664">
        <f>SUM(D7,D30,D44,D74,D117,D157,D210,D213,D244,D262)</f>
        <v>242748.76023175303</v>
      </c>
      <c r="E335" s="664">
        <f>D335/7.11</f>
        <v>34141.879076195924</v>
      </c>
    </row>
    <row r="336" spans="1:20">
      <c r="C336" s="760" t="s">
        <v>525</v>
      </c>
      <c r="D336" s="664">
        <f>D263+D275+D307+D308+D310</f>
        <v>38419.935499999992</v>
      </c>
      <c r="E336" s="664">
        <f t="shared" ref="E336:E338" si="34">D336/7.11</f>
        <v>5403.6477496483813</v>
      </c>
    </row>
    <row r="337" spans="3:5">
      <c r="C337" s="760" t="s">
        <v>526</v>
      </c>
      <c r="D337" s="664">
        <f>D331</f>
        <v>3877</v>
      </c>
      <c r="E337" s="664">
        <f t="shared" si="34"/>
        <v>545.28832630098452</v>
      </c>
    </row>
    <row r="338" spans="3:5">
      <c r="C338" s="760"/>
      <c r="D338" s="761">
        <f>SUM(D335:D337)</f>
        <v>285045.69573175302</v>
      </c>
      <c r="E338" s="761">
        <f t="shared" si="34"/>
        <v>40090.815152145289</v>
      </c>
    </row>
    <row r="339" spans="3:5">
      <c r="C339" s="760"/>
      <c r="D339" s="664"/>
    </row>
    <row r="341" spans="3:5">
      <c r="C341" s="762" t="s">
        <v>805</v>
      </c>
    </row>
    <row r="342" spans="3:5">
      <c r="C342" s="760" t="s">
        <v>786</v>
      </c>
      <c r="D342" s="664">
        <f>E244</f>
        <v>2856.9409282700417</v>
      </c>
    </row>
    <row r="343" spans="3:5">
      <c r="C343" s="760" t="s">
        <v>787</v>
      </c>
      <c r="D343" s="664">
        <f>E262</f>
        <v>2812.939521800281</v>
      </c>
    </row>
    <row r="344" spans="3:5">
      <c r="C344" s="760" t="s">
        <v>788</v>
      </c>
      <c r="D344" s="664">
        <f>E263</f>
        <v>761.39880450070314</v>
      </c>
    </row>
    <row r="345" spans="3:5">
      <c r="C345" s="760" t="s">
        <v>789</v>
      </c>
      <c r="D345" s="664">
        <f>E326</f>
        <v>140.64697609001405</v>
      </c>
    </row>
    <row r="346" spans="3:5">
      <c r="C346" s="760" t="s">
        <v>790</v>
      </c>
      <c r="D346" s="664">
        <f>E327</f>
        <v>140.64697609001405</v>
      </c>
    </row>
    <row r="347" spans="3:5">
      <c r="C347" s="760"/>
      <c r="D347" s="761">
        <f>SUM(D342:D346)</f>
        <v>6712.5732067510544</v>
      </c>
    </row>
    <row r="348" spans="3:5">
      <c r="C348" s="760"/>
    </row>
    <row r="349" spans="3:5">
      <c r="C349" s="760"/>
    </row>
    <row r="350" spans="3:5">
      <c r="C350" s="760"/>
    </row>
    <row r="351" spans="3:5">
      <c r="C351" s="760"/>
    </row>
    <row r="352" spans="3:5">
      <c r="C352" s="760"/>
    </row>
  </sheetData>
  <mergeCells count="24">
    <mergeCell ref="F4:G5"/>
    <mergeCell ref="N4:O5"/>
    <mergeCell ref="A324:C324"/>
    <mergeCell ref="A331:C331"/>
    <mergeCell ref="A333:C333"/>
    <mergeCell ref="A4:A5"/>
    <mergeCell ref="B4:B5"/>
    <mergeCell ref="C4:C5"/>
    <mergeCell ref="A1:T1"/>
    <mergeCell ref="D4:E4"/>
    <mergeCell ref="A211:C211"/>
    <mergeCell ref="B212:T212"/>
    <mergeCell ref="A242:C242"/>
    <mergeCell ref="H4:H5"/>
    <mergeCell ref="I4:I5"/>
    <mergeCell ref="J4:J5"/>
    <mergeCell ref="K4:K5"/>
    <mergeCell ref="L4:L5"/>
    <mergeCell ref="M4:M5"/>
    <mergeCell ref="P4:P5"/>
    <mergeCell ref="Q4:Q5"/>
    <mergeCell ref="R4:R5"/>
    <mergeCell ref="S4:S5"/>
    <mergeCell ref="T4:T5"/>
  </mergeCells>
  <conditionalFormatting sqref="A210:B210 B213:B241 A214:A241">
    <cfRule type="expression" dxfId="0" priority="1">
      <formula>AND(COUNTIF(#REF!,A210)+COUNTIF(#REF!,A210)&gt;1,NOT(ISBLANK(A210)))</formula>
    </cfRule>
  </conditionalFormatting>
  <printOptions horizontalCentered="1"/>
  <pageMargins left="0.25" right="0.25" top="0.75" bottom="0.75" header="0.3" footer="0.3"/>
  <pageSetup paperSize="9" scale="56"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K364"/>
  <sheetViews>
    <sheetView workbookViewId="0">
      <pane xSplit="1" ySplit="3" topLeftCell="B183" activePane="bottomRight" state="frozen"/>
      <selection pane="topRight"/>
      <selection pane="bottomLeft"/>
      <selection pane="bottomRight"/>
    </sheetView>
  </sheetViews>
  <sheetFormatPr defaultColWidth="9" defaultRowHeight="14.4"/>
  <cols>
    <col min="1" max="1" width="8.109375" customWidth="1"/>
    <col min="2" max="2" width="24.21875" customWidth="1"/>
    <col min="3" max="3" width="10.21875" customWidth="1"/>
    <col min="4" max="4" width="17.88671875" customWidth="1"/>
    <col min="5" max="5" width="9.21875" customWidth="1"/>
    <col min="6" max="6" width="10.21875" customWidth="1"/>
    <col min="7" max="7" width="11.33203125" customWidth="1"/>
    <col min="8" max="8" width="5.109375" customWidth="1"/>
    <col min="9" max="9" width="9.21875" customWidth="1"/>
    <col min="10" max="10" width="26" customWidth="1"/>
    <col min="11" max="11" width="8.33203125" customWidth="1"/>
  </cols>
  <sheetData>
    <row r="2" spans="1:11">
      <c r="A2" s="1144" t="s">
        <v>867</v>
      </c>
      <c r="B2" s="1144" t="s">
        <v>868</v>
      </c>
      <c r="C2" s="1138" t="s">
        <v>869</v>
      </c>
      <c r="D2" s="1139"/>
      <c r="E2" s="1139"/>
      <c r="F2" s="1140"/>
      <c r="G2" s="1138" t="s">
        <v>870</v>
      </c>
      <c r="H2" s="1139"/>
      <c r="I2" s="1140"/>
      <c r="J2" s="1144" t="s">
        <v>871</v>
      </c>
      <c r="K2" s="1144" t="s">
        <v>872</v>
      </c>
    </row>
    <row r="3" spans="1:11">
      <c r="A3" s="1145"/>
      <c r="B3" s="1145"/>
      <c r="C3" s="616" t="s">
        <v>259</v>
      </c>
      <c r="D3" s="616" t="s">
        <v>873</v>
      </c>
      <c r="E3" s="616" t="s">
        <v>874</v>
      </c>
      <c r="F3" s="616" t="s">
        <v>875</v>
      </c>
      <c r="G3" s="1138" t="s">
        <v>876</v>
      </c>
      <c r="H3" s="1140"/>
      <c r="I3" s="616" t="s">
        <v>877</v>
      </c>
      <c r="J3" s="1145"/>
      <c r="K3" s="1145"/>
    </row>
    <row r="4" spans="1:11">
      <c r="A4" s="617" t="s">
        <v>878</v>
      </c>
      <c r="B4" s="618" t="s">
        <v>879</v>
      </c>
      <c r="C4" s="619">
        <v>290573.78999999998</v>
      </c>
      <c r="D4" s="619">
        <v>54671.88</v>
      </c>
      <c r="E4" s="619">
        <v>1462</v>
      </c>
      <c r="F4" s="619">
        <v>346707.67</v>
      </c>
      <c r="G4" s="1141"/>
      <c r="H4" s="1142"/>
      <c r="I4" s="1143"/>
      <c r="J4" s="629" t="s">
        <v>880</v>
      </c>
      <c r="K4" s="630">
        <v>0.73219999999999996</v>
      </c>
    </row>
    <row r="5" spans="1:11">
      <c r="A5" s="620">
        <v>1</v>
      </c>
      <c r="B5" s="614" t="s">
        <v>881</v>
      </c>
      <c r="C5" s="619">
        <v>47980.39</v>
      </c>
      <c r="D5" s="619">
        <v>360</v>
      </c>
      <c r="E5" s="619">
        <v>0</v>
      </c>
      <c r="F5" s="619">
        <v>48340.39</v>
      </c>
      <c r="G5" s="619">
        <v>85816</v>
      </c>
      <c r="H5" s="619"/>
      <c r="I5" s="619"/>
      <c r="J5" s="631"/>
      <c r="K5" s="632">
        <v>0.1021</v>
      </c>
    </row>
    <row r="6" spans="1:11">
      <c r="A6" s="621">
        <v>1.2</v>
      </c>
      <c r="B6" s="622" t="s">
        <v>882</v>
      </c>
      <c r="C6" s="623">
        <v>11330.15</v>
      </c>
      <c r="D6" s="623">
        <v>90</v>
      </c>
      <c r="E6" s="623">
        <v>0</v>
      </c>
      <c r="F6" s="623">
        <v>11420.15</v>
      </c>
      <c r="G6" s="623">
        <v>19474</v>
      </c>
      <c r="H6" s="624" t="s">
        <v>883</v>
      </c>
      <c r="I6" s="623">
        <v>0.58599999999999997</v>
      </c>
      <c r="J6" s="631"/>
      <c r="K6" s="630">
        <v>2.41E-2</v>
      </c>
    </row>
    <row r="7" spans="1:11">
      <c r="A7" s="621" t="s">
        <v>162</v>
      </c>
      <c r="B7" s="624" t="s">
        <v>884</v>
      </c>
      <c r="C7" s="623">
        <v>435.73</v>
      </c>
      <c r="D7" s="623"/>
      <c r="E7" s="623"/>
      <c r="F7" s="623">
        <v>435.73</v>
      </c>
      <c r="G7" s="623">
        <v>21786.6</v>
      </c>
      <c r="H7" s="624" t="s">
        <v>883</v>
      </c>
      <c r="I7" s="623">
        <v>0.02</v>
      </c>
      <c r="J7" s="631"/>
      <c r="K7" s="630">
        <v>8.9999999999999998E-4</v>
      </c>
    </row>
    <row r="8" spans="1:11">
      <c r="A8" s="621" t="s">
        <v>164</v>
      </c>
      <c r="B8" s="624" t="s">
        <v>885</v>
      </c>
      <c r="C8" s="623">
        <v>97.37</v>
      </c>
      <c r="D8" s="623"/>
      <c r="E8" s="623"/>
      <c r="F8" s="623">
        <v>97.37</v>
      </c>
      <c r="G8" s="623">
        <v>19474</v>
      </c>
      <c r="H8" s="624" t="s">
        <v>883</v>
      </c>
      <c r="I8" s="623">
        <v>5.0000000000000001E-3</v>
      </c>
      <c r="J8" s="619"/>
      <c r="K8" s="633">
        <v>2.0000000000000001E-4</v>
      </c>
    </row>
    <row r="9" spans="1:11">
      <c r="A9" s="621" t="s">
        <v>166</v>
      </c>
      <c r="B9" s="624" t="s">
        <v>886</v>
      </c>
      <c r="C9" s="623">
        <v>116.84</v>
      </c>
      <c r="D9" s="623"/>
      <c r="E9" s="623"/>
      <c r="F9" s="623">
        <v>116.84</v>
      </c>
      <c r="G9" s="623">
        <v>19474</v>
      </c>
      <c r="H9" s="624" t="s">
        <v>883</v>
      </c>
      <c r="I9" s="623">
        <v>6.0000000000000001E-3</v>
      </c>
      <c r="J9" s="619"/>
      <c r="K9" s="633">
        <v>2.0000000000000001E-4</v>
      </c>
    </row>
    <row r="10" spans="1:11">
      <c r="A10" s="621" t="s">
        <v>168</v>
      </c>
      <c r="B10" s="624" t="s">
        <v>887</v>
      </c>
      <c r="C10" s="623">
        <v>4868.5</v>
      </c>
      <c r="D10" s="623"/>
      <c r="E10" s="623"/>
      <c r="F10" s="623">
        <v>4868.5</v>
      </c>
      <c r="G10" s="623">
        <v>19474</v>
      </c>
      <c r="H10" s="624" t="s">
        <v>883</v>
      </c>
      <c r="I10" s="623">
        <v>0.25</v>
      </c>
      <c r="J10" s="619"/>
      <c r="K10" s="633">
        <v>1.03E-2</v>
      </c>
    </row>
    <row r="11" spans="1:11">
      <c r="A11" s="621" t="s">
        <v>170</v>
      </c>
      <c r="B11" s="624" t="s">
        <v>888</v>
      </c>
      <c r="C11" s="623">
        <v>2921.1</v>
      </c>
      <c r="D11" s="623"/>
      <c r="E11" s="623"/>
      <c r="F11" s="623">
        <v>2921.1</v>
      </c>
      <c r="G11" s="623">
        <v>19474</v>
      </c>
      <c r="H11" s="624" t="s">
        <v>883</v>
      </c>
      <c r="I11" s="623">
        <v>0.15</v>
      </c>
      <c r="J11" s="619"/>
      <c r="K11" s="633">
        <v>6.1999999999999998E-3</v>
      </c>
    </row>
    <row r="12" spans="1:11">
      <c r="A12" s="621" t="s">
        <v>172</v>
      </c>
      <c r="B12" s="624" t="s">
        <v>889</v>
      </c>
      <c r="C12" s="623">
        <v>292.11</v>
      </c>
      <c r="D12" s="623"/>
      <c r="E12" s="623"/>
      <c r="F12" s="623">
        <v>292.11</v>
      </c>
      <c r="G12" s="623">
        <v>19474</v>
      </c>
      <c r="H12" s="624" t="s">
        <v>883</v>
      </c>
      <c r="I12" s="623">
        <v>1.4999999999999999E-2</v>
      </c>
      <c r="J12" s="619"/>
      <c r="K12" s="633">
        <v>5.9999999999999995E-4</v>
      </c>
    </row>
    <row r="13" spans="1:11">
      <c r="A13" s="621" t="s">
        <v>174</v>
      </c>
      <c r="B13" s="624" t="s">
        <v>890</v>
      </c>
      <c r="C13" s="623">
        <v>778.96</v>
      </c>
      <c r="D13" s="623"/>
      <c r="E13" s="623"/>
      <c r="F13" s="623">
        <v>778.96</v>
      </c>
      <c r="G13" s="623">
        <v>19474</v>
      </c>
      <c r="H13" s="624" t="s">
        <v>883</v>
      </c>
      <c r="I13" s="623">
        <v>0.04</v>
      </c>
      <c r="J13" s="619"/>
      <c r="K13" s="633">
        <v>1.6000000000000001E-3</v>
      </c>
    </row>
    <row r="14" spans="1:11">
      <c r="A14" s="621" t="s">
        <v>891</v>
      </c>
      <c r="B14" s="624" t="s">
        <v>892</v>
      </c>
      <c r="C14" s="623">
        <v>1363.18</v>
      </c>
      <c r="D14" s="623"/>
      <c r="E14" s="623"/>
      <c r="F14" s="623">
        <v>1363.18</v>
      </c>
      <c r="G14" s="623">
        <v>19474</v>
      </c>
      <c r="H14" s="624" t="s">
        <v>883</v>
      </c>
      <c r="I14" s="623">
        <v>7.0000000000000007E-2</v>
      </c>
      <c r="J14" s="619"/>
      <c r="K14" s="633">
        <v>2.8999999999999998E-3</v>
      </c>
    </row>
    <row r="15" spans="1:11">
      <c r="A15" s="621" t="s">
        <v>893</v>
      </c>
      <c r="B15" s="624" t="s">
        <v>894</v>
      </c>
      <c r="C15" s="623"/>
      <c r="D15" s="623">
        <v>90</v>
      </c>
      <c r="E15" s="623"/>
      <c r="F15" s="623">
        <v>90</v>
      </c>
      <c r="G15" s="623">
        <v>2</v>
      </c>
      <c r="H15" s="624" t="s">
        <v>895</v>
      </c>
      <c r="I15" s="623">
        <v>45</v>
      </c>
      <c r="J15" s="619"/>
      <c r="K15" s="633">
        <v>2.0000000000000001E-4</v>
      </c>
    </row>
    <row r="16" spans="1:11">
      <c r="A16" s="621" t="s">
        <v>896</v>
      </c>
      <c r="B16" s="624" t="s">
        <v>897</v>
      </c>
      <c r="C16" s="623">
        <v>116.84</v>
      </c>
      <c r="D16" s="623"/>
      <c r="E16" s="623"/>
      <c r="F16" s="623">
        <v>116.84</v>
      </c>
      <c r="G16" s="623">
        <v>19474</v>
      </c>
      <c r="H16" s="624" t="s">
        <v>883</v>
      </c>
      <c r="I16" s="623">
        <v>6.0000000000000001E-3</v>
      </c>
      <c r="J16" s="619"/>
      <c r="K16" s="633">
        <v>2.0000000000000001E-4</v>
      </c>
    </row>
    <row r="17" spans="1:11">
      <c r="A17" s="621" t="s">
        <v>898</v>
      </c>
      <c r="B17" s="624" t="s">
        <v>899</v>
      </c>
      <c r="C17" s="623">
        <v>38.950000000000003</v>
      </c>
      <c r="D17" s="623"/>
      <c r="E17" s="623"/>
      <c r="F17" s="623">
        <v>38.950000000000003</v>
      </c>
      <c r="G17" s="623">
        <v>19474</v>
      </c>
      <c r="H17" s="624" t="s">
        <v>883</v>
      </c>
      <c r="I17" s="623">
        <v>2E-3</v>
      </c>
      <c r="J17" s="619"/>
      <c r="K17" s="633">
        <v>1E-4</v>
      </c>
    </row>
    <row r="18" spans="1:11">
      <c r="A18" s="621" t="s">
        <v>900</v>
      </c>
      <c r="B18" s="624" t="s">
        <v>901</v>
      </c>
      <c r="C18" s="623">
        <v>300.56</v>
      </c>
      <c r="D18" s="623"/>
      <c r="E18" s="623"/>
      <c r="F18" s="623">
        <v>300.56</v>
      </c>
      <c r="G18" s="623">
        <v>10018.780000000001</v>
      </c>
      <c r="H18" s="624" t="s">
        <v>883</v>
      </c>
      <c r="I18" s="623">
        <v>0.03</v>
      </c>
      <c r="J18" s="634"/>
      <c r="K18" s="630">
        <v>5.9999999999999995E-4</v>
      </c>
    </row>
    <row r="19" spans="1:11">
      <c r="A19" s="621">
        <v>1.3</v>
      </c>
      <c r="B19" s="622" t="s">
        <v>902</v>
      </c>
      <c r="C19" s="623">
        <v>11330.15</v>
      </c>
      <c r="D19" s="623">
        <v>90</v>
      </c>
      <c r="E19" s="623">
        <v>0</v>
      </c>
      <c r="F19" s="623">
        <v>11420.15</v>
      </c>
      <c r="G19" s="623">
        <v>19474</v>
      </c>
      <c r="H19" s="624" t="s">
        <v>883</v>
      </c>
      <c r="I19" s="623">
        <v>0.58599999999999997</v>
      </c>
      <c r="J19" s="634"/>
      <c r="K19" s="630">
        <v>2.41E-2</v>
      </c>
    </row>
    <row r="20" spans="1:11">
      <c r="A20" s="621" t="s">
        <v>903</v>
      </c>
      <c r="B20" s="624" t="s">
        <v>884</v>
      </c>
      <c r="C20" s="623">
        <v>435.73</v>
      </c>
      <c r="D20" s="623"/>
      <c r="E20" s="623"/>
      <c r="F20" s="623">
        <v>435.73</v>
      </c>
      <c r="G20" s="623">
        <v>21786.6</v>
      </c>
      <c r="H20" s="624" t="s">
        <v>883</v>
      </c>
      <c r="I20" s="623">
        <v>0.02</v>
      </c>
      <c r="J20" s="634"/>
      <c r="K20" s="630">
        <v>8.9999999999999998E-4</v>
      </c>
    </row>
    <row r="21" spans="1:11">
      <c r="A21" s="621" t="s">
        <v>904</v>
      </c>
      <c r="B21" s="624" t="s">
        <v>885</v>
      </c>
      <c r="C21" s="623">
        <v>97.37</v>
      </c>
      <c r="D21" s="623"/>
      <c r="E21" s="623"/>
      <c r="F21" s="623">
        <v>97.37</v>
      </c>
      <c r="G21" s="623">
        <v>19474</v>
      </c>
      <c r="H21" s="624" t="s">
        <v>883</v>
      </c>
      <c r="I21" s="623">
        <v>5.0000000000000001E-3</v>
      </c>
      <c r="J21" s="619"/>
      <c r="K21" s="633">
        <v>2.0000000000000001E-4</v>
      </c>
    </row>
    <row r="22" spans="1:11">
      <c r="A22" s="621" t="s">
        <v>905</v>
      </c>
      <c r="B22" s="624" t="s">
        <v>886</v>
      </c>
      <c r="C22" s="623">
        <v>116.84</v>
      </c>
      <c r="D22" s="623"/>
      <c r="E22" s="623"/>
      <c r="F22" s="623">
        <v>116.84</v>
      </c>
      <c r="G22" s="623">
        <v>19474</v>
      </c>
      <c r="H22" s="624" t="s">
        <v>883</v>
      </c>
      <c r="I22" s="623">
        <v>6.0000000000000001E-3</v>
      </c>
      <c r="J22" s="619"/>
      <c r="K22" s="633">
        <v>2.0000000000000001E-4</v>
      </c>
    </row>
    <row r="23" spans="1:11">
      <c r="A23" s="621" t="s">
        <v>906</v>
      </c>
      <c r="B23" s="624" t="s">
        <v>887</v>
      </c>
      <c r="C23" s="623">
        <v>4868.5</v>
      </c>
      <c r="D23" s="623"/>
      <c r="E23" s="623"/>
      <c r="F23" s="623">
        <v>4868.5</v>
      </c>
      <c r="G23" s="623">
        <v>19474</v>
      </c>
      <c r="H23" s="624" t="s">
        <v>883</v>
      </c>
      <c r="I23" s="623">
        <v>0.25</v>
      </c>
      <c r="J23" s="619"/>
      <c r="K23" s="633">
        <v>1.03E-2</v>
      </c>
    </row>
    <row r="24" spans="1:11">
      <c r="A24" s="621" t="s">
        <v>907</v>
      </c>
      <c r="B24" s="624" t="s">
        <v>888</v>
      </c>
      <c r="C24" s="623">
        <v>2921.1</v>
      </c>
      <c r="D24" s="623"/>
      <c r="E24" s="623"/>
      <c r="F24" s="623">
        <v>2921.1</v>
      </c>
      <c r="G24" s="623">
        <v>19474</v>
      </c>
      <c r="H24" s="624" t="s">
        <v>883</v>
      </c>
      <c r="I24" s="623">
        <v>0.15</v>
      </c>
      <c r="J24" s="619"/>
      <c r="K24" s="633">
        <v>6.1999999999999998E-3</v>
      </c>
    </row>
    <row r="25" spans="1:11">
      <c r="A25" s="621" t="s">
        <v>908</v>
      </c>
      <c r="B25" s="624" t="s">
        <v>889</v>
      </c>
      <c r="C25" s="623">
        <v>292.11</v>
      </c>
      <c r="D25" s="623"/>
      <c r="E25" s="623"/>
      <c r="F25" s="623">
        <v>292.11</v>
      </c>
      <c r="G25" s="623">
        <v>19474</v>
      </c>
      <c r="H25" s="624" t="s">
        <v>883</v>
      </c>
      <c r="I25" s="623">
        <v>1.4999999999999999E-2</v>
      </c>
      <c r="J25" s="619"/>
      <c r="K25" s="633">
        <v>5.9999999999999995E-4</v>
      </c>
    </row>
    <row r="26" spans="1:11">
      <c r="A26" s="621" t="s">
        <v>909</v>
      </c>
      <c r="B26" s="624" t="s">
        <v>890</v>
      </c>
      <c r="C26" s="623">
        <v>778.96</v>
      </c>
      <c r="D26" s="623"/>
      <c r="E26" s="623"/>
      <c r="F26" s="623">
        <v>778.96</v>
      </c>
      <c r="G26" s="623">
        <v>19474</v>
      </c>
      <c r="H26" s="624" t="s">
        <v>883</v>
      </c>
      <c r="I26" s="623">
        <v>0.04</v>
      </c>
      <c r="J26" s="619"/>
      <c r="K26" s="633">
        <v>1.6000000000000001E-3</v>
      </c>
    </row>
    <row r="27" spans="1:11">
      <c r="A27" s="621" t="s">
        <v>910</v>
      </c>
      <c r="B27" s="624" t="s">
        <v>892</v>
      </c>
      <c r="C27" s="623">
        <v>1363.18</v>
      </c>
      <c r="D27" s="623"/>
      <c r="E27" s="623"/>
      <c r="F27" s="623">
        <v>1363.18</v>
      </c>
      <c r="G27" s="623">
        <v>19474</v>
      </c>
      <c r="H27" s="624" t="s">
        <v>883</v>
      </c>
      <c r="I27" s="623">
        <v>7.0000000000000007E-2</v>
      </c>
      <c r="J27" s="619"/>
      <c r="K27" s="633">
        <v>2.8999999999999998E-3</v>
      </c>
    </row>
    <row r="28" spans="1:11">
      <c r="A28" s="621" t="s">
        <v>911</v>
      </c>
      <c r="B28" s="624" t="s">
        <v>894</v>
      </c>
      <c r="C28" s="623"/>
      <c r="D28" s="623">
        <v>90</v>
      </c>
      <c r="E28" s="623"/>
      <c r="F28" s="623">
        <v>90</v>
      </c>
      <c r="G28" s="623">
        <v>2</v>
      </c>
      <c r="H28" s="624" t="s">
        <v>895</v>
      </c>
      <c r="I28" s="623">
        <v>45</v>
      </c>
      <c r="J28" s="619"/>
      <c r="K28" s="633">
        <v>2.0000000000000001E-4</v>
      </c>
    </row>
    <row r="29" spans="1:11">
      <c r="A29" s="621" t="s">
        <v>912</v>
      </c>
      <c r="B29" s="624" t="s">
        <v>897</v>
      </c>
      <c r="C29" s="623">
        <v>116.84</v>
      </c>
      <c r="D29" s="623"/>
      <c r="E29" s="623"/>
      <c r="F29" s="623">
        <v>116.84</v>
      </c>
      <c r="G29" s="623">
        <v>19474</v>
      </c>
      <c r="H29" s="624" t="s">
        <v>883</v>
      </c>
      <c r="I29" s="623">
        <v>6.0000000000000001E-3</v>
      </c>
      <c r="J29" s="619"/>
      <c r="K29" s="633">
        <v>2.0000000000000001E-4</v>
      </c>
    </row>
    <row r="30" spans="1:11">
      <c r="A30" s="621" t="s">
        <v>913</v>
      </c>
      <c r="B30" s="624" t="s">
        <v>899</v>
      </c>
      <c r="C30" s="623">
        <v>38.950000000000003</v>
      </c>
      <c r="D30" s="623"/>
      <c r="E30" s="623"/>
      <c r="F30" s="623">
        <v>38.950000000000003</v>
      </c>
      <c r="G30" s="623">
        <v>19474</v>
      </c>
      <c r="H30" s="624" t="s">
        <v>883</v>
      </c>
      <c r="I30" s="623">
        <v>2E-3</v>
      </c>
      <c r="J30" s="619"/>
      <c r="K30" s="633">
        <v>1E-4</v>
      </c>
    </row>
    <row r="31" spans="1:11">
      <c r="A31" s="621" t="s">
        <v>914</v>
      </c>
      <c r="B31" s="624" t="s">
        <v>901</v>
      </c>
      <c r="C31" s="623">
        <v>300.56</v>
      </c>
      <c r="D31" s="623"/>
      <c r="E31" s="623"/>
      <c r="F31" s="623">
        <v>300.56</v>
      </c>
      <c r="G31" s="623">
        <v>10018.780000000001</v>
      </c>
      <c r="H31" s="624" t="s">
        <v>883</v>
      </c>
      <c r="I31" s="623">
        <v>0.03</v>
      </c>
      <c r="J31" s="634"/>
      <c r="K31" s="630">
        <v>5.9999999999999995E-4</v>
      </c>
    </row>
    <row r="32" spans="1:11">
      <c r="A32" s="621">
        <v>1.4</v>
      </c>
      <c r="B32" s="623" t="s">
        <v>915</v>
      </c>
      <c r="C32" s="623">
        <v>24087.58</v>
      </c>
      <c r="D32" s="623">
        <v>180</v>
      </c>
      <c r="E32" s="623">
        <v>0</v>
      </c>
      <c r="F32" s="623">
        <v>24267.58</v>
      </c>
      <c r="G32" s="623">
        <v>45398</v>
      </c>
      <c r="H32" s="624" t="s">
        <v>883</v>
      </c>
      <c r="I32" s="623">
        <v>0.53500000000000003</v>
      </c>
      <c r="J32" s="634"/>
      <c r="K32" s="630">
        <v>5.1299999999999998E-2</v>
      </c>
    </row>
    <row r="33" spans="1:11">
      <c r="A33" s="621" t="s">
        <v>916</v>
      </c>
      <c r="B33" s="624" t="s">
        <v>884</v>
      </c>
      <c r="C33" s="623">
        <v>506.31</v>
      </c>
      <c r="D33" s="623"/>
      <c r="E33" s="623"/>
      <c r="F33" s="623">
        <v>506.31</v>
      </c>
      <c r="G33" s="623">
        <v>25315.4</v>
      </c>
      <c r="H33" s="624" t="s">
        <v>883</v>
      </c>
      <c r="I33" s="623">
        <v>0.02</v>
      </c>
      <c r="J33" s="634"/>
      <c r="K33" s="630">
        <v>1.1000000000000001E-3</v>
      </c>
    </row>
    <row r="34" spans="1:11">
      <c r="A34" s="621" t="s">
        <v>917</v>
      </c>
      <c r="B34" s="624" t="s">
        <v>885</v>
      </c>
      <c r="C34" s="623">
        <v>226.99</v>
      </c>
      <c r="D34" s="623"/>
      <c r="E34" s="623"/>
      <c r="F34" s="623">
        <v>226.99</v>
      </c>
      <c r="G34" s="623">
        <v>45398</v>
      </c>
      <c r="H34" s="624" t="s">
        <v>883</v>
      </c>
      <c r="I34" s="623">
        <v>5.0000000000000001E-3</v>
      </c>
      <c r="J34" s="619"/>
      <c r="K34" s="633">
        <v>5.0000000000000001E-4</v>
      </c>
    </row>
    <row r="35" spans="1:11">
      <c r="A35" s="621" t="s">
        <v>918</v>
      </c>
      <c r="B35" s="624" t="s">
        <v>886</v>
      </c>
      <c r="C35" s="623">
        <v>272.39</v>
      </c>
      <c r="D35" s="623"/>
      <c r="E35" s="623"/>
      <c r="F35" s="623">
        <v>272.39</v>
      </c>
      <c r="G35" s="623">
        <v>45398</v>
      </c>
      <c r="H35" s="624" t="s">
        <v>883</v>
      </c>
      <c r="I35" s="623">
        <v>6.0000000000000001E-3</v>
      </c>
      <c r="J35" s="619"/>
      <c r="K35" s="633">
        <v>5.9999999999999995E-4</v>
      </c>
    </row>
    <row r="36" spans="1:11">
      <c r="A36" s="621" t="s">
        <v>919</v>
      </c>
      <c r="B36" s="624" t="s">
        <v>887</v>
      </c>
      <c r="C36" s="623">
        <v>10441.540000000001</v>
      </c>
      <c r="D36" s="623"/>
      <c r="E36" s="623"/>
      <c r="F36" s="623">
        <v>10441.540000000001</v>
      </c>
      <c r="G36" s="623">
        <v>45398</v>
      </c>
      <c r="H36" s="624" t="s">
        <v>883</v>
      </c>
      <c r="I36" s="623">
        <v>0.23</v>
      </c>
      <c r="J36" s="619"/>
      <c r="K36" s="633">
        <v>2.2100000000000002E-2</v>
      </c>
    </row>
    <row r="37" spans="1:11">
      <c r="A37" s="621" t="s">
        <v>920</v>
      </c>
      <c r="B37" s="624" t="s">
        <v>888</v>
      </c>
      <c r="C37" s="623">
        <v>5901.74</v>
      </c>
      <c r="D37" s="623"/>
      <c r="E37" s="623"/>
      <c r="F37" s="623">
        <v>5901.74</v>
      </c>
      <c r="G37" s="623">
        <v>45398</v>
      </c>
      <c r="H37" s="624" t="s">
        <v>883</v>
      </c>
      <c r="I37" s="623">
        <v>0.13</v>
      </c>
      <c r="J37" s="619"/>
      <c r="K37" s="633">
        <v>1.2500000000000001E-2</v>
      </c>
    </row>
    <row r="38" spans="1:11">
      <c r="A38" s="621" t="s">
        <v>921</v>
      </c>
      <c r="B38" s="624" t="s">
        <v>889</v>
      </c>
      <c r="C38" s="623">
        <v>680.97</v>
      </c>
      <c r="D38" s="623"/>
      <c r="E38" s="623"/>
      <c r="F38" s="623">
        <v>680.97</v>
      </c>
      <c r="G38" s="623">
        <v>45398</v>
      </c>
      <c r="H38" s="624" t="s">
        <v>883</v>
      </c>
      <c r="I38" s="623">
        <v>1.4999999999999999E-2</v>
      </c>
      <c r="J38" s="619"/>
      <c r="K38" s="633">
        <v>1.4E-3</v>
      </c>
    </row>
    <row r="39" spans="1:11">
      <c r="A39" s="621" t="s">
        <v>922</v>
      </c>
      <c r="B39" s="624" t="s">
        <v>890</v>
      </c>
      <c r="C39" s="623">
        <v>1815.92</v>
      </c>
      <c r="D39" s="623"/>
      <c r="E39" s="623"/>
      <c r="F39" s="623">
        <v>1815.92</v>
      </c>
      <c r="G39" s="623">
        <v>45398</v>
      </c>
      <c r="H39" s="624" t="s">
        <v>883</v>
      </c>
      <c r="I39" s="623">
        <v>0.04</v>
      </c>
      <c r="J39" s="619"/>
      <c r="K39" s="633">
        <v>3.8E-3</v>
      </c>
    </row>
    <row r="40" spans="1:11">
      <c r="A40" s="621" t="s">
        <v>923</v>
      </c>
      <c r="B40" s="624" t="s">
        <v>892</v>
      </c>
      <c r="C40" s="623">
        <v>3177.86</v>
      </c>
      <c r="D40" s="623"/>
      <c r="E40" s="623"/>
      <c r="F40" s="623">
        <v>3177.86</v>
      </c>
      <c r="G40" s="623">
        <v>45398</v>
      </c>
      <c r="H40" s="624" t="s">
        <v>883</v>
      </c>
      <c r="I40" s="623">
        <v>7.0000000000000007E-2</v>
      </c>
      <c r="J40" s="619"/>
      <c r="K40" s="633">
        <v>6.7000000000000002E-3</v>
      </c>
    </row>
    <row r="41" spans="1:11">
      <c r="A41" s="621" t="s">
        <v>924</v>
      </c>
      <c r="B41" s="624" t="s">
        <v>894</v>
      </c>
      <c r="C41" s="623"/>
      <c r="D41" s="623">
        <v>180</v>
      </c>
      <c r="E41" s="623"/>
      <c r="F41" s="623">
        <v>180</v>
      </c>
      <c r="G41" s="623">
        <v>4</v>
      </c>
      <c r="H41" s="624" t="s">
        <v>895</v>
      </c>
      <c r="I41" s="623">
        <v>45</v>
      </c>
      <c r="J41" s="619"/>
      <c r="K41" s="633">
        <v>4.0000000000000002E-4</v>
      </c>
    </row>
    <row r="42" spans="1:11">
      <c r="A42" s="621" t="s">
        <v>925</v>
      </c>
      <c r="B42" s="624" t="s">
        <v>897</v>
      </c>
      <c r="C42" s="623">
        <v>272.39</v>
      </c>
      <c r="D42" s="623"/>
      <c r="E42" s="623"/>
      <c r="F42" s="623">
        <v>272.39</v>
      </c>
      <c r="G42" s="623">
        <v>45398</v>
      </c>
      <c r="H42" s="624" t="s">
        <v>883</v>
      </c>
      <c r="I42" s="623">
        <v>6.0000000000000001E-3</v>
      </c>
      <c r="J42" s="619"/>
      <c r="K42" s="633">
        <v>5.9999999999999995E-4</v>
      </c>
    </row>
    <row r="43" spans="1:11">
      <c r="A43" s="621" t="s">
        <v>926</v>
      </c>
      <c r="B43" s="624" t="s">
        <v>899</v>
      </c>
      <c r="C43" s="623">
        <v>90.8</v>
      </c>
      <c r="D43" s="623"/>
      <c r="E43" s="623"/>
      <c r="F43" s="623">
        <v>90.8</v>
      </c>
      <c r="G43" s="623">
        <v>45398</v>
      </c>
      <c r="H43" s="624" t="s">
        <v>883</v>
      </c>
      <c r="I43" s="623">
        <v>2E-3</v>
      </c>
      <c r="J43" s="619"/>
      <c r="K43" s="633">
        <v>2.0000000000000001E-4</v>
      </c>
    </row>
    <row r="44" spans="1:11">
      <c r="A44" s="621" t="s">
        <v>927</v>
      </c>
      <c r="B44" s="624" t="s">
        <v>901</v>
      </c>
      <c r="C44" s="623">
        <v>700.68</v>
      </c>
      <c r="D44" s="623"/>
      <c r="E44" s="623"/>
      <c r="F44" s="623">
        <v>700.68</v>
      </c>
      <c r="G44" s="623">
        <v>23355.89</v>
      </c>
      <c r="H44" s="623"/>
      <c r="I44" s="623">
        <v>0.03</v>
      </c>
      <c r="J44" s="634"/>
      <c r="K44" s="630">
        <v>1.5E-3</v>
      </c>
    </row>
    <row r="45" spans="1:11">
      <c r="A45" s="621">
        <v>1.5</v>
      </c>
      <c r="B45" s="625" t="s">
        <v>928</v>
      </c>
      <c r="C45" s="623">
        <v>496.26</v>
      </c>
      <c r="D45" s="623"/>
      <c r="E45" s="623"/>
      <c r="F45" s="623">
        <v>496.26</v>
      </c>
      <c r="G45" s="623">
        <v>949</v>
      </c>
      <c r="H45" s="624" t="s">
        <v>883</v>
      </c>
      <c r="I45" s="623">
        <v>0.52300000000000002</v>
      </c>
      <c r="J45" s="634"/>
      <c r="K45" s="630">
        <v>1E-3</v>
      </c>
    </row>
    <row r="46" spans="1:11">
      <c r="A46" s="621" t="s">
        <v>929</v>
      </c>
      <c r="B46" s="624" t="s">
        <v>885</v>
      </c>
      <c r="C46" s="623">
        <v>3.32</v>
      </c>
      <c r="D46" s="623"/>
      <c r="E46" s="623"/>
      <c r="F46" s="623">
        <v>3.32</v>
      </c>
      <c r="G46" s="623">
        <v>949</v>
      </c>
      <c r="H46" s="624" t="s">
        <v>883</v>
      </c>
      <c r="I46" s="623">
        <v>4.0000000000000001E-3</v>
      </c>
      <c r="J46" s="619"/>
      <c r="K46" s="633">
        <v>0</v>
      </c>
    </row>
    <row r="47" spans="1:11">
      <c r="A47" s="621" t="s">
        <v>930</v>
      </c>
      <c r="B47" s="624" t="s">
        <v>887</v>
      </c>
      <c r="C47" s="623">
        <v>455.52</v>
      </c>
      <c r="D47" s="623"/>
      <c r="E47" s="623"/>
      <c r="F47" s="623">
        <v>455.52</v>
      </c>
      <c r="G47" s="623">
        <v>949</v>
      </c>
      <c r="H47" s="624" t="s">
        <v>883</v>
      </c>
      <c r="I47" s="623">
        <v>0.48</v>
      </c>
      <c r="J47" s="619"/>
      <c r="K47" s="633">
        <v>1E-3</v>
      </c>
    </row>
    <row r="48" spans="1:11">
      <c r="A48" s="621" t="s">
        <v>931</v>
      </c>
      <c r="B48" s="624" t="s">
        <v>889</v>
      </c>
      <c r="C48" s="623">
        <v>2.85</v>
      </c>
      <c r="D48" s="623"/>
      <c r="E48" s="623"/>
      <c r="F48" s="623">
        <v>2.85</v>
      </c>
      <c r="G48" s="623">
        <v>949</v>
      </c>
      <c r="H48" s="624" t="s">
        <v>883</v>
      </c>
      <c r="I48" s="623">
        <v>3.0000000000000001E-3</v>
      </c>
      <c r="J48" s="619"/>
      <c r="K48" s="633">
        <v>0</v>
      </c>
    </row>
    <row r="49" spans="1:11">
      <c r="A49" s="621" t="s">
        <v>932</v>
      </c>
      <c r="B49" s="624" t="s">
        <v>890</v>
      </c>
      <c r="C49" s="623">
        <v>3.8</v>
      </c>
      <c r="D49" s="623"/>
      <c r="E49" s="623"/>
      <c r="F49" s="623">
        <v>3.8</v>
      </c>
      <c r="G49" s="623">
        <v>949</v>
      </c>
      <c r="H49" s="624" t="s">
        <v>883</v>
      </c>
      <c r="I49" s="623">
        <v>4.0000000000000001E-3</v>
      </c>
      <c r="J49" s="619"/>
      <c r="K49" s="633">
        <v>0</v>
      </c>
    </row>
    <row r="50" spans="1:11">
      <c r="A50" s="621" t="s">
        <v>933</v>
      </c>
      <c r="B50" s="624" t="s">
        <v>892</v>
      </c>
      <c r="C50" s="623">
        <v>8.5399999999999991</v>
      </c>
      <c r="D50" s="623"/>
      <c r="E50" s="623"/>
      <c r="F50" s="623">
        <v>8.5399999999999991</v>
      </c>
      <c r="G50" s="623">
        <v>949</v>
      </c>
      <c r="H50" s="624" t="s">
        <v>883</v>
      </c>
      <c r="I50" s="623">
        <v>8.9999999999999993E-3</v>
      </c>
      <c r="J50" s="619"/>
      <c r="K50" s="633">
        <v>0</v>
      </c>
    </row>
    <row r="51" spans="1:11">
      <c r="A51" s="621" t="s">
        <v>934</v>
      </c>
      <c r="B51" s="624" t="s">
        <v>897</v>
      </c>
      <c r="C51" s="623">
        <v>5.69</v>
      </c>
      <c r="D51" s="623"/>
      <c r="E51" s="623"/>
      <c r="F51" s="623">
        <v>5.69</v>
      </c>
      <c r="G51" s="623">
        <v>949</v>
      </c>
      <c r="H51" s="624" t="s">
        <v>883</v>
      </c>
      <c r="I51" s="623">
        <v>6.0000000000000001E-3</v>
      </c>
      <c r="J51" s="619"/>
      <c r="K51" s="633">
        <v>0</v>
      </c>
    </row>
    <row r="52" spans="1:11">
      <c r="A52" s="621" t="s">
        <v>935</v>
      </c>
      <c r="B52" s="624" t="s">
        <v>899</v>
      </c>
      <c r="C52" s="623">
        <v>1.9</v>
      </c>
      <c r="D52" s="623"/>
      <c r="E52" s="623"/>
      <c r="F52" s="623">
        <v>1.9</v>
      </c>
      <c r="G52" s="623">
        <v>949</v>
      </c>
      <c r="H52" s="624" t="s">
        <v>883</v>
      </c>
      <c r="I52" s="623">
        <v>2E-3</v>
      </c>
      <c r="J52" s="619"/>
      <c r="K52" s="633">
        <v>0</v>
      </c>
    </row>
    <row r="53" spans="1:11">
      <c r="A53" s="621" t="s">
        <v>936</v>
      </c>
      <c r="B53" s="624" t="s">
        <v>901</v>
      </c>
      <c r="C53" s="623">
        <v>14.65</v>
      </c>
      <c r="D53" s="623"/>
      <c r="E53" s="623"/>
      <c r="F53" s="623">
        <v>14.65</v>
      </c>
      <c r="G53" s="623">
        <v>488.23</v>
      </c>
      <c r="H53" s="623"/>
      <c r="I53" s="623">
        <v>0.03</v>
      </c>
      <c r="J53" s="634"/>
      <c r="K53" s="630">
        <v>0</v>
      </c>
    </row>
    <row r="54" spans="1:11">
      <c r="A54" s="621">
        <v>1.6</v>
      </c>
      <c r="B54" s="625" t="s">
        <v>937</v>
      </c>
      <c r="C54" s="623">
        <v>272.45</v>
      </c>
      <c r="D54" s="623"/>
      <c r="E54" s="623"/>
      <c r="F54" s="623">
        <v>272.45</v>
      </c>
      <c r="G54" s="623">
        <v>521</v>
      </c>
      <c r="H54" s="624" t="s">
        <v>883</v>
      </c>
      <c r="I54" s="623">
        <v>0.52300000000000002</v>
      </c>
      <c r="J54" s="634"/>
      <c r="K54" s="630">
        <v>5.9999999999999995E-4</v>
      </c>
    </row>
    <row r="55" spans="1:11">
      <c r="A55" s="621" t="s">
        <v>938</v>
      </c>
      <c r="B55" s="624" t="s">
        <v>885</v>
      </c>
      <c r="C55" s="623">
        <v>1.82</v>
      </c>
      <c r="D55" s="623"/>
      <c r="E55" s="623"/>
      <c r="F55" s="623">
        <v>1.82</v>
      </c>
      <c r="G55" s="623">
        <v>521</v>
      </c>
      <c r="H55" s="624" t="s">
        <v>883</v>
      </c>
      <c r="I55" s="623">
        <v>4.0000000000000001E-3</v>
      </c>
      <c r="J55" s="619"/>
      <c r="K55" s="633">
        <v>0</v>
      </c>
    </row>
    <row r="56" spans="1:11">
      <c r="A56" s="621" t="s">
        <v>939</v>
      </c>
      <c r="B56" s="624" t="s">
        <v>887</v>
      </c>
      <c r="C56" s="623">
        <v>250.08</v>
      </c>
      <c r="D56" s="623"/>
      <c r="E56" s="623"/>
      <c r="F56" s="623">
        <v>250.08</v>
      </c>
      <c r="G56" s="623">
        <v>521</v>
      </c>
      <c r="H56" s="624" t="s">
        <v>883</v>
      </c>
      <c r="I56" s="623">
        <v>0.48</v>
      </c>
      <c r="J56" s="619"/>
      <c r="K56" s="633">
        <v>5.0000000000000001E-4</v>
      </c>
    </row>
    <row r="57" spans="1:11">
      <c r="A57" s="621" t="s">
        <v>940</v>
      </c>
      <c r="B57" s="624" t="s">
        <v>889</v>
      </c>
      <c r="C57" s="623">
        <v>1.56</v>
      </c>
      <c r="D57" s="623"/>
      <c r="E57" s="623"/>
      <c r="F57" s="623">
        <v>1.56</v>
      </c>
      <c r="G57" s="623">
        <v>521</v>
      </c>
      <c r="H57" s="624" t="s">
        <v>883</v>
      </c>
      <c r="I57" s="623">
        <v>3.0000000000000001E-3</v>
      </c>
      <c r="J57" s="619"/>
      <c r="K57" s="633">
        <v>0</v>
      </c>
    </row>
    <row r="58" spans="1:11">
      <c r="A58" s="621" t="s">
        <v>941</v>
      </c>
      <c r="B58" s="624" t="s">
        <v>890</v>
      </c>
      <c r="C58" s="623">
        <v>2.08</v>
      </c>
      <c r="D58" s="623"/>
      <c r="E58" s="623"/>
      <c r="F58" s="623">
        <v>2.08</v>
      </c>
      <c r="G58" s="623">
        <v>521</v>
      </c>
      <c r="H58" s="624" t="s">
        <v>883</v>
      </c>
      <c r="I58" s="623">
        <v>4.0000000000000001E-3</v>
      </c>
      <c r="J58" s="619"/>
      <c r="K58" s="633">
        <v>0</v>
      </c>
    </row>
    <row r="59" spans="1:11">
      <c r="A59" s="621" t="s">
        <v>942</v>
      </c>
      <c r="B59" s="624" t="s">
        <v>892</v>
      </c>
      <c r="C59" s="623">
        <v>4.6900000000000004</v>
      </c>
      <c r="D59" s="623"/>
      <c r="E59" s="623"/>
      <c r="F59" s="623">
        <v>4.6900000000000004</v>
      </c>
      <c r="G59" s="623">
        <v>521</v>
      </c>
      <c r="H59" s="624" t="s">
        <v>883</v>
      </c>
      <c r="I59" s="623">
        <v>8.9999999999999993E-3</v>
      </c>
      <c r="J59" s="619"/>
      <c r="K59" s="633">
        <v>0</v>
      </c>
    </row>
    <row r="60" spans="1:11">
      <c r="A60" s="621" t="s">
        <v>943</v>
      </c>
      <c r="B60" s="624" t="s">
        <v>897</v>
      </c>
      <c r="C60" s="623">
        <v>3.13</v>
      </c>
      <c r="D60" s="623"/>
      <c r="E60" s="623"/>
      <c r="F60" s="623">
        <v>3.13</v>
      </c>
      <c r="G60" s="623">
        <v>521</v>
      </c>
      <c r="H60" s="624" t="s">
        <v>883</v>
      </c>
      <c r="I60" s="623">
        <v>6.0000000000000001E-3</v>
      </c>
      <c r="J60" s="619"/>
      <c r="K60" s="633">
        <v>0</v>
      </c>
    </row>
    <row r="61" spans="1:11">
      <c r="A61" s="621" t="s">
        <v>944</v>
      </c>
      <c r="B61" s="624" t="s">
        <v>899</v>
      </c>
      <c r="C61" s="623">
        <v>1.04</v>
      </c>
      <c r="D61" s="623"/>
      <c r="E61" s="623"/>
      <c r="F61" s="623">
        <v>1.04</v>
      </c>
      <c r="G61" s="623">
        <v>521</v>
      </c>
      <c r="H61" s="624" t="s">
        <v>883</v>
      </c>
      <c r="I61" s="623">
        <v>2E-3</v>
      </c>
      <c r="J61" s="619"/>
      <c r="K61" s="633">
        <v>0</v>
      </c>
    </row>
    <row r="62" spans="1:11">
      <c r="A62" s="621" t="s">
        <v>945</v>
      </c>
      <c r="B62" s="626" t="s">
        <v>901</v>
      </c>
      <c r="C62" s="623">
        <v>8.0399999999999991</v>
      </c>
      <c r="D62" s="623"/>
      <c r="E62" s="623"/>
      <c r="F62" s="623">
        <v>8.0399999999999991</v>
      </c>
      <c r="G62" s="623">
        <v>268.04000000000002</v>
      </c>
      <c r="H62" s="624" t="s">
        <v>883</v>
      </c>
      <c r="I62" s="623">
        <v>0.03</v>
      </c>
      <c r="J62" s="634"/>
      <c r="K62" s="630">
        <v>0</v>
      </c>
    </row>
    <row r="63" spans="1:11">
      <c r="A63" s="621">
        <v>1.7</v>
      </c>
      <c r="B63" s="624" t="s">
        <v>946</v>
      </c>
      <c r="C63" s="623">
        <v>463.8</v>
      </c>
      <c r="D63" s="623"/>
      <c r="E63" s="623"/>
      <c r="F63" s="623">
        <v>463.8</v>
      </c>
      <c r="G63" s="623">
        <v>7730</v>
      </c>
      <c r="H63" s="624" t="s">
        <v>947</v>
      </c>
      <c r="I63" s="623">
        <v>0.06</v>
      </c>
      <c r="J63" s="634"/>
      <c r="K63" s="630">
        <v>1E-3</v>
      </c>
    </row>
    <row r="64" spans="1:11">
      <c r="A64" s="627">
        <v>2</v>
      </c>
      <c r="B64" s="616" t="s">
        <v>948</v>
      </c>
      <c r="C64" s="619">
        <v>96278.3</v>
      </c>
      <c r="D64" s="619">
        <v>360</v>
      </c>
      <c r="E64" s="619">
        <v>0</v>
      </c>
      <c r="F64" s="619">
        <v>96638.3</v>
      </c>
      <c r="G64" s="619">
        <v>173680</v>
      </c>
      <c r="H64" s="619"/>
      <c r="I64" s="619"/>
      <c r="J64" s="631"/>
      <c r="K64" s="632">
        <v>0.2041</v>
      </c>
    </row>
    <row r="65" spans="1:11">
      <c r="A65" s="621">
        <v>2.1</v>
      </c>
      <c r="B65" s="623" t="s">
        <v>949</v>
      </c>
      <c r="C65" s="623">
        <v>20479.53</v>
      </c>
      <c r="D65" s="623">
        <v>180</v>
      </c>
      <c r="E65" s="623">
        <v>0</v>
      </c>
      <c r="F65" s="623">
        <v>20659.53</v>
      </c>
      <c r="G65" s="623">
        <v>39225</v>
      </c>
      <c r="H65" s="624" t="s">
        <v>883</v>
      </c>
      <c r="I65" s="623">
        <v>0.52700000000000002</v>
      </c>
      <c r="J65" s="634"/>
      <c r="K65" s="630">
        <v>4.36E-2</v>
      </c>
    </row>
    <row r="66" spans="1:11">
      <c r="A66" s="621" t="s">
        <v>950</v>
      </c>
      <c r="B66" s="624" t="s">
        <v>884</v>
      </c>
      <c r="C66" s="623">
        <v>496.98</v>
      </c>
      <c r="D66" s="623"/>
      <c r="E66" s="623"/>
      <c r="F66" s="623">
        <v>496.98</v>
      </c>
      <c r="G66" s="623">
        <v>24849</v>
      </c>
      <c r="H66" s="624" t="s">
        <v>883</v>
      </c>
      <c r="I66" s="623">
        <v>0.02</v>
      </c>
      <c r="J66" s="634"/>
      <c r="K66" s="630">
        <v>1E-3</v>
      </c>
    </row>
    <row r="67" spans="1:11">
      <c r="A67" s="621" t="s">
        <v>951</v>
      </c>
      <c r="B67" s="624" t="s">
        <v>885</v>
      </c>
      <c r="C67" s="623">
        <v>196.13</v>
      </c>
      <c r="D67" s="623"/>
      <c r="E67" s="623"/>
      <c r="F67" s="623">
        <v>196.13</v>
      </c>
      <c r="G67" s="623">
        <v>39225</v>
      </c>
      <c r="H67" s="624" t="s">
        <v>883</v>
      </c>
      <c r="I67" s="623">
        <v>5.0000000000000001E-3</v>
      </c>
      <c r="J67" s="619"/>
      <c r="K67" s="633">
        <v>4.0000000000000002E-4</v>
      </c>
    </row>
    <row r="68" spans="1:11">
      <c r="A68" s="621" t="s">
        <v>952</v>
      </c>
      <c r="B68" s="624" t="s">
        <v>886</v>
      </c>
      <c r="C68" s="623">
        <v>235.35</v>
      </c>
      <c r="D68" s="623"/>
      <c r="E68" s="623"/>
      <c r="F68" s="623">
        <v>235.35</v>
      </c>
      <c r="G68" s="623">
        <v>39225</v>
      </c>
      <c r="H68" s="624" t="s">
        <v>883</v>
      </c>
      <c r="I68" s="623">
        <v>6.0000000000000001E-3</v>
      </c>
      <c r="J68" s="619"/>
      <c r="K68" s="633">
        <v>5.0000000000000001E-4</v>
      </c>
    </row>
    <row r="69" spans="1:11">
      <c r="A69" s="621" t="s">
        <v>953</v>
      </c>
      <c r="B69" s="624" t="s">
        <v>887</v>
      </c>
      <c r="C69" s="623">
        <v>9414</v>
      </c>
      <c r="D69" s="623"/>
      <c r="E69" s="623"/>
      <c r="F69" s="623">
        <v>9414</v>
      </c>
      <c r="G69" s="623">
        <v>39225</v>
      </c>
      <c r="H69" s="624" t="s">
        <v>883</v>
      </c>
      <c r="I69" s="623">
        <v>0.24</v>
      </c>
      <c r="J69" s="619"/>
      <c r="K69" s="633">
        <v>1.9900000000000001E-2</v>
      </c>
    </row>
    <row r="70" spans="1:11">
      <c r="A70" s="621" t="s">
        <v>954</v>
      </c>
      <c r="B70" s="624" t="s">
        <v>888</v>
      </c>
      <c r="C70" s="623">
        <v>4707</v>
      </c>
      <c r="D70" s="623"/>
      <c r="E70" s="623"/>
      <c r="F70" s="623">
        <v>4707</v>
      </c>
      <c r="G70" s="623">
        <v>39225</v>
      </c>
      <c r="H70" s="624" t="s">
        <v>883</v>
      </c>
      <c r="I70" s="623">
        <v>0.12</v>
      </c>
      <c r="J70" s="619"/>
      <c r="K70" s="633">
        <v>9.9000000000000008E-3</v>
      </c>
    </row>
    <row r="71" spans="1:11">
      <c r="A71" s="621" t="s">
        <v>955</v>
      </c>
      <c r="B71" s="624" t="s">
        <v>889</v>
      </c>
      <c r="C71" s="623">
        <v>588.38</v>
      </c>
      <c r="D71" s="623"/>
      <c r="E71" s="623"/>
      <c r="F71" s="623">
        <v>588.38</v>
      </c>
      <c r="G71" s="623">
        <v>39225</v>
      </c>
      <c r="H71" s="624" t="s">
        <v>883</v>
      </c>
      <c r="I71" s="623">
        <v>1.4999999999999999E-2</v>
      </c>
      <c r="J71" s="619"/>
      <c r="K71" s="633">
        <v>1.1999999999999999E-3</v>
      </c>
    </row>
    <row r="72" spans="1:11">
      <c r="A72" s="621" t="s">
        <v>956</v>
      </c>
      <c r="B72" s="624" t="s">
        <v>890</v>
      </c>
      <c r="C72" s="623">
        <v>1176.75</v>
      </c>
      <c r="D72" s="623"/>
      <c r="E72" s="623"/>
      <c r="F72" s="623">
        <v>1176.75</v>
      </c>
      <c r="G72" s="623">
        <v>39225</v>
      </c>
      <c r="H72" s="624" t="s">
        <v>883</v>
      </c>
      <c r="I72" s="623">
        <v>0.03</v>
      </c>
      <c r="J72" s="619"/>
      <c r="K72" s="633">
        <v>2.5000000000000001E-3</v>
      </c>
    </row>
    <row r="73" spans="1:11">
      <c r="A73" s="621" t="s">
        <v>957</v>
      </c>
      <c r="B73" s="624" t="s">
        <v>892</v>
      </c>
      <c r="C73" s="623">
        <v>2745.75</v>
      </c>
      <c r="D73" s="623"/>
      <c r="E73" s="623"/>
      <c r="F73" s="623">
        <v>2745.75</v>
      </c>
      <c r="G73" s="623">
        <v>39225</v>
      </c>
      <c r="H73" s="624" t="s">
        <v>883</v>
      </c>
      <c r="I73" s="623">
        <v>7.0000000000000007E-2</v>
      </c>
      <c r="J73" s="619"/>
      <c r="K73" s="633">
        <v>5.7999999999999996E-3</v>
      </c>
    </row>
    <row r="74" spans="1:11">
      <c r="A74" s="621" t="s">
        <v>958</v>
      </c>
      <c r="B74" s="624" t="s">
        <v>894</v>
      </c>
      <c r="C74" s="623"/>
      <c r="D74" s="623">
        <v>180</v>
      </c>
      <c r="E74" s="623"/>
      <c r="F74" s="623">
        <v>180</v>
      </c>
      <c r="G74" s="623">
        <v>4</v>
      </c>
      <c r="H74" s="624" t="s">
        <v>895</v>
      </c>
      <c r="I74" s="623">
        <v>45</v>
      </c>
      <c r="J74" s="619"/>
      <c r="K74" s="633">
        <v>4.0000000000000002E-4</v>
      </c>
    </row>
    <row r="75" spans="1:11">
      <c r="A75" s="621" t="s">
        <v>959</v>
      </c>
      <c r="B75" s="624" t="s">
        <v>897</v>
      </c>
      <c r="C75" s="623">
        <v>235.35</v>
      </c>
      <c r="D75" s="623"/>
      <c r="E75" s="623"/>
      <c r="F75" s="623">
        <v>235.35</v>
      </c>
      <c r="G75" s="623">
        <v>39225</v>
      </c>
      <c r="H75" s="624" t="s">
        <v>883</v>
      </c>
      <c r="I75" s="623">
        <v>6.0000000000000001E-3</v>
      </c>
      <c r="J75" s="619"/>
      <c r="K75" s="633">
        <v>5.0000000000000001E-4</v>
      </c>
    </row>
    <row r="76" spans="1:11">
      <c r="A76" s="621" t="s">
        <v>960</v>
      </c>
      <c r="B76" s="624" t="s">
        <v>899</v>
      </c>
      <c r="C76" s="623">
        <v>78.45</v>
      </c>
      <c r="D76" s="623"/>
      <c r="E76" s="623"/>
      <c r="F76" s="623">
        <v>78.45</v>
      </c>
      <c r="G76" s="623">
        <v>39225</v>
      </c>
      <c r="H76" s="624" t="s">
        <v>883</v>
      </c>
      <c r="I76" s="623">
        <v>2E-3</v>
      </c>
      <c r="J76" s="619"/>
      <c r="K76" s="633">
        <v>2.0000000000000001E-4</v>
      </c>
    </row>
    <row r="77" spans="1:11">
      <c r="A77" s="621" t="s">
        <v>961</v>
      </c>
      <c r="B77" s="624" t="s">
        <v>901</v>
      </c>
      <c r="C77" s="623">
        <v>605.4</v>
      </c>
      <c r="D77" s="623"/>
      <c r="E77" s="623"/>
      <c r="F77" s="623">
        <v>605.4</v>
      </c>
      <c r="G77" s="623">
        <v>20180.07</v>
      </c>
      <c r="H77" s="624" t="s">
        <v>883</v>
      </c>
      <c r="I77" s="623">
        <v>0.03</v>
      </c>
      <c r="J77" s="634"/>
      <c r="K77" s="630">
        <v>1.2999999999999999E-3</v>
      </c>
    </row>
    <row r="78" spans="1:11">
      <c r="A78" s="621">
        <v>2.2000000000000002</v>
      </c>
      <c r="B78" s="623" t="s">
        <v>962</v>
      </c>
      <c r="C78" s="623">
        <v>12021.04</v>
      </c>
      <c r="D78" s="623">
        <v>180</v>
      </c>
      <c r="E78" s="623">
        <v>0</v>
      </c>
      <c r="F78" s="623">
        <v>12201.04</v>
      </c>
      <c r="G78" s="623">
        <v>20936</v>
      </c>
      <c r="H78" s="624" t="s">
        <v>883</v>
      </c>
      <c r="I78" s="623">
        <v>0.58299999999999996</v>
      </c>
      <c r="J78" s="634"/>
      <c r="K78" s="630">
        <v>2.58E-2</v>
      </c>
    </row>
    <row r="79" spans="1:11">
      <c r="A79" s="621" t="s">
        <v>963</v>
      </c>
      <c r="B79" s="624" t="s">
        <v>884</v>
      </c>
      <c r="C79" s="623">
        <v>497.16</v>
      </c>
      <c r="D79" s="623"/>
      <c r="E79" s="623"/>
      <c r="F79" s="623">
        <v>497.16</v>
      </c>
      <c r="G79" s="623">
        <v>24857.8</v>
      </c>
      <c r="H79" s="624" t="s">
        <v>883</v>
      </c>
      <c r="I79" s="623">
        <v>0.02</v>
      </c>
      <c r="J79" s="634"/>
      <c r="K79" s="630">
        <v>1E-3</v>
      </c>
    </row>
    <row r="80" spans="1:11">
      <c r="A80" s="621" t="s">
        <v>964</v>
      </c>
      <c r="B80" s="624" t="s">
        <v>885</v>
      </c>
      <c r="C80" s="623">
        <v>104.68</v>
      </c>
      <c r="D80" s="623"/>
      <c r="E80" s="623"/>
      <c r="F80" s="623">
        <v>104.68</v>
      </c>
      <c r="G80" s="623">
        <v>20936</v>
      </c>
      <c r="H80" s="624" t="s">
        <v>883</v>
      </c>
      <c r="I80" s="623">
        <v>5.0000000000000001E-3</v>
      </c>
      <c r="J80" s="619"/>
      <c r="K80" s="633">
        <v>2.0000000000000001E-4</v>
      </c>
    </row>
    <row r="81" spans="1:11">
      <c r="A81" s="621" t="s">
        <v>965</v>
      </c>
      <c r="B81" s="624" t="s">
        <v>886</v>
      </c>
      <c r="C81" s="623">
        <v>146.55000000000001</v>
      </c>
      <c r="D81" s="623"/>
      <c r="E81" s="623"/>
      <c r="F81" s="623">
        <v>146.55000000000001</v>
      </c>
      <c r="G81" s="623">
        <v>20936</v>
      </c>
      <c r="H81" s="624" t="s">
        <v>883</v>
      </c>
      <c r="I81" s="623">
        <v>7.0000000000000001E-3</v>
      </c>
      <c r="J81" s="619"/>
      <c r="K81" s="633">
        <v>2.9999999999999997E-4</v>
      </c>
    </row>
    <row r="82" spans="1:11">
      <c r="A82" s="621" t="s">
        <v>966</v>
      </c>
      <c r="B82" s="624" t="s">
        <v>887</v>
      </c>
      <c r="C82" s="623">
        <v>5443.36</v>
      </c>
      <c r="D82" s="623"/>
      <c r="E82" s="623"/>
      <c r="F82" s="623">
        <v>5443.36</v>
      </c>
      <c r="G82" s="623">
        <v>20936</v>
      </c>
      <c r="H82" s="624" t="s">
        <v>883</v>
      </c>
      <c r="I82" s="623">
        <v>0.26</v>
      </c>
      <c r="J82" s="619"/>
      <c r="K82" s="633">
        <v>1.15E-2</v>
      </c>
    </row>
    <row r="83" spans="1:11">
      <c r="A83" s="621" t="s">
        <v>967</v>
      </c>
      <c r="B83" s="624" t="s">
        <v>888</v>
      </c>
      <c r="C83" s="623">
        <v>2931.04</v>
      </c>
      <c r="D83" s="623"/>
      <c r="E83" s="623"/>
      <c r="F83" s="623">
        <v>2931.04</v>
      </c>
      <c r="G83" s="623">
        <v>20936</v>
      </c>
      <c r="H83" s="624" t="s">
        <v>883</v>
      </c>
      <c r="I83" s="623">
        <v>0.14000000000000001</v>
      </c>
      <c r="J83" s="619"/>
      <c r="K83" s="633">
        <v>6.1999999999999998E-3</v>
      </c>
    </row>
    <row r="84" spans="1:11">
      <c r="A84" s="621" t="s">
        <v>968</v>
      </c>
      <c r="B84" s="624" t="s">
        <v>889</v>
      </c>
      <c r="C84" s="623">
        <v>314.04000000000002</v>
      </c>
      <c r="D84" s="623"/>
      <c r="E84" s="623"/>
      <c r="F84" s="623">
        <v>314.04000000000002</v>
      </c>
      <c r="G84" s="623">
        <v>20936</v>
      </c>
      <c r="H84" s="624" t="s">
        <v>883</v>
      </c>
      <c r="I84" s="623">
        <v>1.4999999999999999E-2</v>
      </c>
      <c r="J84" s="619"/>
      <c r="K84" s="633">
        <v>6.9999999999999999E-4</v>
      </c>
    </row>
    <row r="85" spans="1:11">
      <c r="A85" s="621" t="s">
        <v>969</v>
      </c>
      <c r="B85" s="624" t="s">
        <v>890</v>
      </c>
      <c r="C85" s="623">
        <v>628.08000000000004</v>
      </c>
      <c r="D85" s="623"/>
      <c r="E85" s="623"/>
      <c r="F85" s="623">
        <v>628.08000000000004</v>
      </c>
      <c r="G85" s="623">
        <v>20936</v>
      </c>
      <c r="H85" s="624" t="s">
        <v>883</v>
      </c>
      <c r="I85" s="623">
        <v>0.03</v>
      </c>
      <c r="J85" s="619"/>
      <c r="K85" s="633">
        <v>1.2999999999999999E-3</v>
      </c>
    </row>
    <row r="86" spans="1:11">
      <c r="A86" s="621" t="s">
        <v>970</v>
      </c>
      <c r="B86" s="624" t="s">
        <v>892</v>
      </c>
      <c r="C86" s="623">
        <v>1465.52</v>
      </c>
      <c r="D86" s="623"/>
      <c r="E86" s="623"/>
      <c r="F86" s="623">
        <v>1465.52</v>
      </c>
      <c r="G86" s="623">
        <v>20936</v>
      </c>
      <c r="H86" s="624" t="s">
        <v>883</v>
      </c>
      <c r="I86" s="623">
        <v>7.0000000000000007E-2</v>
      </c>
      <c r="J86" s="619"/>
      <c r="K86" s="633">
        <v>3.0999999999999999E-3</v>
      </c>
    </row>
    <row r="87" spans="1:11">
      <c r="A87" s="621" t="s">
        <v>971</v>
      </c>
      <c r="B87" s="624" t="s">
        <v>894</v>
      </c>
      <c r="C87" s="623"/>
      <c r="D87" s="623">
        <v>180</v>
      </c>
      <c r="E87" s="623"/>
      <c r="F87" s="623">
        <v>180</v>
      </c>
      <c r="G87" s="623">
        <v>4</v>
      </c>
      <c r="H87" s="624" t="s">
        <v>895</v>
      </c>
      <c r="I87" s="623">
        <v>45</v>
      </c>
      <c r="J87" s="619"/>
      <c r="K87" s="633">
        <v>4.0000000000000002E-4</v>
      </c>
    </row>
    <row r="88" spans="1:11">
      <c r="A88" s="621" t="s">
        <v>972</v>
      </c>
      <c r="B88" s="624" t="s">
        <v>897</v>
      </c>
      <c r="C88" s="623">
        <v>125.62</v>
      </c>
      <c r="D88" s="623"/>
      <c r="E88" s="623"/>
      <c r="F88" s="623">
        <v>125.62</v>
      </c>
      <c r="G88" s="623">
        <v>20936</v>
      </c>
      <c r="H88" s="624" t="s">
        <v>883</v>
      </c>
      <c r="I88" s="623">
        <v>6.0000000000000001E-3</v>
      </c>
      <c r="J88" s="619"/>
      <c r="K88" s="633">
        <v>2.9999999999999997E-4</v>
      </c>
    </row>
    <row r="89" spans="1:11">
      <c r="A89" s="621" t="s">
        <v>973</v>
      </c>
      <c r="B89" s="624" t="s">
        <v>899</v>
      </c>
      <c r="C89" s="623">
        <v>41.87</v>
      </c>
      <c r="D89" s="623"/>
      <c r="E89" s="623"/>
      <c r="F89" s="623">
        <v>41.87</v>
      </c>
      <c r="G89" s="623">
        <v>20936</v>
      </c>
      <c r="H89" s="624" t="s">
        <v>883</v>
      </c>
      <c r="I89" s="623">
        <v>2E-3</v>
      </c>
      <c r="J89" s="619"/>
      <c r="K89" s="633">
        <v>1E-4</v>
      </c>
    </row>
    <row r="90" spans="1:11">
      <c r="A90" s="635"/>
      <c r="B90" s="636" t="s">
        <v>901</v>
      </c>
      <c r="C90" s="623">
        <v>323.13</v>
      </c>
      <c r="D90" s="637"/>
      <c r="E90" s="637"/>
      <c r="F90" s="623">
        <v>323.13</v>
      </c>
      <c r="G90" s="637">
        <v>10770.93</v>
      </c>
      <c r="H90" s="624" t="s">
        <v>883</v>
      </c>
      <c r="I90" s="637">
        <v>0.03</v>
      </c>
      <c r="J90" s="644"/>
      <c r="K90" s="645">
        <v>6.9999999999999999E-4</v>
      </c>
    </row>
    <row r="91" spans="1:11">
      <c r="A91" s="638">
        <v>2.2999999999999998</v>
      </c>
      <c r="B91" s="639" t="s">
        <v>974</v>
      </c>
      <c r="C91" s="637">
        <v>2890.95</v>
      </c>
      <c r="D91" s="639">
        <v>0</v>
      </c>
      <c r="E91" s="639">
        <v>0</v>
      </c>
      <c r="F91" s="637">
        <v>2890.95</v>
      </c>
      <c r="G91" s="639">
        <v>4500</v>
      </c>
      <c r="H91" s="636" t="s">
        <v>883</v>
      </c>
      <c r="I91" s="639">
        <v>0.64200000000000002</v>
      </c>
      <c r="J91" s="646"/>
      <c r="K91" s="647">
        <v>6.1000000000000004E-3</v>
      </c>
    </row>
    <row r="92" spans="1:11">
      <c r="A92" s="638" t="s">
        <v>975</v>
      </c>
      <c r="B92" s="640" t="s">
        <v>884</v>
      </c>
      <c r="C92" s="639">
        <v>99</v>
      </c>
      <c r="D92" s="639"/>
      <c r="E92" s="639"/>
      <c r="F92" s="639">
        <v>99</v>
      </c>
      <c r="G92" s="639">
        <v>4950</v>
      </c>
      <c r="H92" s="640" t="s">
        <v>883</v>
      </c>
      <c r="I92" s="639">
        <v>0.02</v>
      </c>
      <c r="J92" s="646"/>
      <c r="K92" s="647">
        <v>2.0000000000000001E-4</v>
      </c>
    </row>
    <row r="93" spans="1:11">
      <c r="A93" s="641" t="s">
        <v>976</v>
      </c>
      <c r="B93" s="642" t="s">
        <v>885</v>
      </c>
      <c r="C93" s="643">
        <v>22.5</v>
      </c>
      <c r="D93" s="643"/>
      <c r="E93" s="643"/>
      <c r="F93" s="643">
        <v>22.5</v>
      </c>
      <c r="G93" s="643">
        <v>4500</v>
      </c>
      <c r="H93" s="642" t="s">
        <v>883</v>
      </c>
      <c r="I93" s="643">
        <v>5.0000000000000001E-3</v>
      </c>
      <c r="J93" s="628"/>
      <c r="K93" s="648">
        <v>0</v>
      </c>
    </row>
    <row r="94" spans="1:11">
      <c r="A94" s="621" t="s">
        <v>977</v>
      </c>
      <c r="B94" s="624" t="s">
        <v>886</v>
      </c>
      <c r="C94" s="623">
        <v>31.5</v>
      </c>
      <c r="D94" s="623"/>
      <c r="E94" s="623"/>
      <c r="F94" s="623">
        <v>31.5</v>
      </c>
      <c r="G94" s="623">
        <v>4500</v>
      </c>
      <c r="H94" s="624" t="s">
        <v>883</v>
      </c>
      <c r="I94" s="623">
        <v>7.0000000000000001E-3</v>
      </c>
      <c r="J94" s="619"/>
      <c r="K94" s="633">
        <v>1E-4</v>
      </c>
    </row>
    <row r="95" spans="1:11">
      <c r="A95" s="635" t="s">
        <v>978</v>
      </c>
      <c r="B95" s="624" t="s">
        <v>887</v>
      </c>
      <c r="C95" s="623">
        <v>1170</v>
      </c>
      <c r="D95" s="623"/>
      <c r="E95" s="623"/>
      <c r="F95" s="623">
        <v>1170</v>
      </c>
      <c r="G95" s="623">
        <v>4500</v>
      </c>
      <c r="H95" s="624" t="s">
        <v>883</v>
      </c>
      <c r="I95" s="623">
        <v>0.26</v>
      </c>
      <c r="J95" s="619"/>
      <c r="K95" s="633">
        <v>2.5000000000000001E-3</v>
      </c>
    </row>
    <row r="96" spans="1:11">
      <c r="A96" s="641" t="s">
        <v>979</v>
      </c>
      <c r="B96" s="624" t="s">
        <v>888</v>
      </c>
      <c r="C96" s="623">
        <v>810</v>
      </c>
      <c r="D96" s="623"/>
      <c r="E96" s="623"/>
      <c r="F96" s="623">
        <v>810</v>
      </c>
      <c r="G96" s="623">
        <v>4500</v>
      </c>
      <c r="H96" s="624" t="s">
        <v>883</v>
      </c>
      <c r="I96" s="623">
        <v>0.18</v>
      </c>
      <c r="J96" s="619"/>
      <c r="K96" s="633">
        <v>1.6999999999999999E-3</v>
      </c>
    </row>
    <row r="97" spans="1:11">
      <c r="A97" s="621" t="s">
        <v>980</v>
      </c>
      <c r="B97" s="624" t="s">
        <v>889</v>
      </c>
      <c r="C97" s="623">
        <v>67.5</v>
      </c>
      <c r="D97" s="623"/>
      <c r="E97" s="623"/>
      <c r="F97" s="623">
        <v>67.5</v>
      </c>
      <c r="G97" s="623">
        <v>4500</v>
      </c>
      <c r="H97" s="624" t="s">
        <v>883</v>
      </c>
      <c r="I97" s="623">
        <v>1.4999999999999999E-2</v>
      </c>
      <c r="J97" s="619"/>
      <c r="K97" s="633">
        <v>1E-4</v>
      </c>
    </row>
    <row r="98" spans="1:11">
      <c r="A98" s="635" t="s">
        <v>981</v>
      </c>
      <c r="B98" s="624" t="s">
        <v>890</v>
      </c>
      <c r="C98" s="623">
        <v>225</v>
      </c>
      <c r="D98" s="623"/>
      <c r="E98" s="623"/>
      <c r="F98" s="623">
        <v>225</v>
      </c>
      <c r="G98" s="623">
        <v>4500</v>
      </c>
      <c r="H98" s="624" t="s">
        <v>883</v>
      </c>
      <c r="I98" s="623">
        <v>0.05</v>
      </c>
      <c r="J98" s="619"/>
      <c r="K98" s="633">
        <v>5.0000000000000001E-4</v>
      </c>
    </row>
    <row r="99" spans="1:11">
      <c r="A99" s="641" t="s">
        <v>982</v>
      </c>
      <c r="B99" s="624" t="s">
        <v>892</v>
      </c>
      <c r="C99" s="623">
        <v>360</v>
      </c>
      <c r="D99" s="623"/>
      <c r="E99" s="623"/>
      <c r="F99" s="623">
        <v>360</v>
      </c>
      <c r="G99" s="623">
        <v>4500</v>
      </c>
      <c r="H99" s="624" t="s">
        <v>883</v>
      </c>
      <c r="I99" s="623">
        <v>0.08</v>
      </c>
      <c r="J99" s="619"/>
      <c r="K99" s="633">
        <v>8.0000000000000004E-4</v>
      </c>
    </row>
    <row r="100" spans="1:11">
      <c r="A100" s="621" t="s">
        <v>983</v>
      </c>
      <c r="B100" s="624" t="s">
        <v>894</v>
      </c>
      <c r="C100" s="623"/>
      <c r="D100" s="623">
        <v>0</v>
      </c>
      <c r="E100" s="623"/>
      <c r="F100" s="623">
        <v>0</v>
      </c>
      <c r="G100" s="623">
        <v>0</v>
      </c>
      <c r="H100" s="624" t="s">
        <v>895</v>
      </c>
      <c r="I100" s="623">
        <v>45</v>
      </c>
      <c r="J100" s="619"/>
      <c r="K100" s="633">
        <v>0</v>
      </c>
    </row>
    <row r="101" spans="1:11">
      <c r="A101" s="635" t="s">
        <v>984</v>
      </c>
      <c r="B101" s="624" t="s">
        <v>897</v>
      </c>
      <c r="C101" s="623">
        <v>27</v>
      </c>
      <c r="D101" s="623"/>
      <c r="E101" s="623"/>
      <c r="F101" s="623">
        <v>27</v>
      </c>
      <c r="G101" s="623">
        <v>4500</v>
      </c>
      <c r="H101" s="624" t="s">
        <v>883</v>
      </c>
      <c r="I101" s="623">
        <v>6.0000000000000001E-3</v>
      </c>
      <c r="J101" s="619"/>
      <c r="K101" s="633">
        <v>1E-4</v>
      </c>
    </row>
    <row r="102" spans="1:11">
      <c r="A102" s="641" t="s">
        <v>985</v>
      </c>
      <c r="B102" s="624" t="s">
        <v>899</v>
      </c>
      <c r="C102" s="623">
        <v>9</v>
      </c>
      <c r="D102" s="623"/>
      <c r="E102" s="623"/>
      <c r="F102" s="623">
        <v>9</v>
      </c>
      <c r="G102" s="623">
        <v>4500</v>
      </c>
      <c r="H102" s="624" t="s">
        <v>883</v>
      </c>
      <c r="I102" s="623">
        <v>2E-3</v>
      </c>
      <c r="J102" s="619"/>
      <c r="K102" s="633">
        <v>0</v>
      </c>
    </row>
    <row r="103" spans="1:11">
      <c r="A103" s="621"/>
      <c r="B103" s="624" t="s">
        <v>901</v>
      </c>
      <c r="C103" s="623">
        <v>69.45</v>
      </c>
      <c r="D103" s="623"/>
      <c r="E103" s="623"/>
      <c r="F103" s="623">
        <v>69.45</v>
      </c>
      <c r="G103" s="623">
        <v>2315.11</v>
      </c>
      <c r="H103" s="624" t="s">
        <v>883</v>
      </c>
      <c r="I103" s="623">
        <v>0.03</v>
      </c>
      <c r="J103" s="634"/>
      <c r="K103" s="630">
        <v>1E-4</v>
      </c>
    </row>
    <row r="104" spans="1:11">
      <c r="A104" s="621">
        <v>2.4</v>
      </c>
      <c r="B104" s="623" t="s">
        <v>986</v>
      </c>
      <c r="C104" s="623">
        <v>10339.379999999999</v>
      </c>
      <c r="D104" s="623">
        <v>0</v>
      </c>
      <c r="E104" s="623">
        <v>0</v>
      </c>
      <c r="F104" s="623">
        <v>10339.379999999999</v>
      </c>
      <c r="G104" s="623">
        <v>19884</v>
      </c>
      <c r="H104" s="624" t="s">
        <v>883</v>
      </c>
      <c r="I104" s="623">
        <v>0.52</v>
      </c>
      <c r="J104" s="634"/>
      <c r="K104" s="630">
        <v>2.18E-2</v>
      </c>
    </row>
    <row r="105" spans="1:11">
      <c r="A105" s="621" t="s">
        <v>298</v>
      </c>
      <c r="B105" s="624" t="s">
        <v>884</v>
      </c>
      <c r="C105" s="623">
        <v>209.79</v>
      </c>
      <c r="D105" s="623"/>
      <c r="E105" s="623"/>
      <c r="F105" s="623">
        <v>209.79</v>
      </c>
      <c r="G105" s="623">
        <v>10489.6</v>
      </c>
      <c r="H105" s="624" t="s">
        <v>883</v>
      </c>
      <c r="I105" s="623">
        <v>0.02</v>
      </c>
      <c r="J105" s="634"/>
      <c r="K105" s="630">
        <v>4.0000000000000002E-4</v>
      </c>
    </row>
    <row r="106" spans="1:11">
      <c r="A106" s="621" t="s">
        <v>298</v>
      </c>
      <c r="B106" s="624" t="s">
        <v>885</v>
      </c>
      <c r="C106" s="623">
        <v>99.42</v>
      </c>
      <c r="D106" s="623"/>
      <c r="E106" s="623"/>
      <c r="F106" s="623">
        <v>99.42</v>
      </c>
      <c r="G106" s="623">
        <v>19884</v>
      </c>
      <c r="H106" s="624" t="s">
        <v>883</v>
      </c>
      <c r="I106" s="623">
        <v>5.0000000000000001E-3</v>
      </c>
      <c r="J106" s="619"/>
      <c r="K106" s="633">
        <v>2.0000000000000001E-4</v>
      </c>
    </row>
    <row r="107" spans="1:11">
      <c r="A107" s="621" t="s">
        <v>299</v>
      </c>
      <c r="B107" s="624" t="s">
        <v>886</v>
      </c>
      <c r="C107" s="623">
        <v>119.3</v>
      </c>
      <c r="D107" s="623"/>
      <c r="E107" s="623"/>
      <c r="F107" s="623">
        <v>119.3</v>
      </c>
      <c r="G107" s="623">
        <v>19884</v>
      </c>
      <c r="H107" s="624" t="s">
        <v>883</v>
      </c>
      <c r="I107" s="623">
        <v>6.0000000000000001E-3</v>
      </c>
      <c r="J107" s="619"/>
      <c r="K107" s="633">
        <v>2.9999999999999997E-4</v>
      </c>
    </row>
    <row r="108" spans="1:11">
      <c r="A108" s="621" t="s">
        <v>300</v>
      </c>
      <c r="B108" s="624" t="s">
        <v>887</v>
      </c>
      <c r="C108" s="623">
        <v>4772.16</v>
      </c>
      <c r="D108" s="623"/>
      <c r="E108" s="623"/>
      <c r="F108" s="623">
        <v>4772.16</v>
      </c>
      <c r="G108" s="623">
        <v>19884</v>
      </c>
      <c r="H108" s="624" t="s">
        <v>883</v>
      </c>
      <c r="I108" s="623">
        <v>0.24</v>
      </c>
      <c r="J108" s="619"/>
      <c r="K108" s="633">
        <v>1.01E-2</v>
      </c>
    </row>
    <row r="109" spans="1:11">
      <c r="A109" s="621" t="s">
        <v>301</v>
      </c>
      <c r="B109" s="624" t="s">
        <v>888</v>
      </c>
      <c r="C109" s="623">
        <v>2386.08</v>
      </c>
      <c r="D109" s="623"/>
      <c r="E109" s="623"/>
      <c r="F109" s="623">
        <v>2386.08</v>
      </c>
      <c r="G109" s="623">
        <v>19884</v>
      </c>
      <c r="H109" s="624" t="s">
        <v>883</v>
      </c>
      <c r="I109" s="623">
        <v>0.12</v>
      </c>
      <c r="J109" s="619"/>
      <c r="K109" s="633">
        <v>5.0000000000000001E-3</v>
      </c>
    </row>
    <row r="110" spans="1:11">
      <c r="A110" s="621" t="s">
        <v>302</v>
      </c>
      <c r="B110" s="624" t="s">
        <v>889</v>
      </c>
      <c r="C110" s="623">
        <v>298.26</v>
      </c>
      <c r="D110" s="623"/>
      <c r="E110" s="623"/>
      <c r="F110" s="623">
        <v>298.26</v>
      </c>
      <c r="G110" s="623">
        <v>19884</v>
      </c>
      <c r="H110" s="624" t="s">
        <v>883</v>
      </c>
      <c r="I110" s="623">
        <v>1.4999999999999999E-2</v>
      </c>
      <c r="J110" s="619"/>
      <c r="K110" s="633">
        <v>5.9999999999999995E-4</v>
      </c>
    </row>
    <row r="111" spans="1:11">
      <c r="A111" s="621" t="s">
        <v>303</v>
      </c>
      <c r="B111" s="624" t="s">
        <v>890</v>
      </c>
      <c r="C111" s="623">
        <v>596.52</v>
      </c>
      <c r="D111" s="623"/>
      <c r="E111" s="623"/>
      <c r="F111" s="623">
        <v>596.52</v>
      </c>
      <c r="G111" s="623">
        <v>19884</v>
      </c>
      <c r="H111" s="624" t="s">
        <v>883</v>
      </c>
      <c r="I111" s="623">
        <v>0.03</v>
      </c>
      <c r="J111" s="619"/>
      <c r="K111" s="633">
        <v>1.2999999999999999E-3</v>
      </c>
    </row>
    <row r="112" spans="1:11">
      <c r="A112" s="621" t="s">
        <v>304</v>
      </c>
      <c r="B112" s="624" t="s">
        <v>892</v>
      </c>
      <c r="C112" s="623">
        <v>1391.88</v>
      </c>
      <c r="D112" s="623"/>
      <c r="E112" s="623"/>
      <c r="F112" s="623">
        <v>1391.88</v>
      </c>
      <c r="G112" s="623">
        <v>19884</v>
      </c>
      <c r="H112" s="624" t="s">
        <v>883</v>
      </c>
      <c r="I112" s="623">
        <v>7.0000000000000007E-2</v>
      </c>
      <c r="J112" s="619"/>
      <c r="K112" s="633">
        <v>2.8999999999999998E-3</v>
      </c>
    </row>
    <row r="113" spans="1:11">
      <c r="A113" s="621" t="s">
        <v>305</v>
      </c>
      <c r="B113" s="624" t="s">
        <v>894</v>
      </c>
      <c r="C113" s="623"/>
      <c r="D113" s="623">
        <v>0</v>
      </c>
      <c r="E113" s="623"/>
      <c r="F113" s="623">
        <v>0</v>
      </c>
      <c r="G113" s="623">
        <v>0</v>
      </c>
      <c r="H113" s="624" t="s">
        <v>895</v>
      </c>
      <c r="I113" s="623">
        <v>45</v>
      </c>
      <c r="J113" s="619"/>
      <c r="K113" s="633">
        <v>0</v>
      </c>
    </row>
    <row r="114" spans="1:11">
      <c r="A114" s="621" t="s">
        <v>987</v>
      </c>
      <c r="B114" s="624" t="s">
        <v>897</v>
      </c>
      <c r="C114" s="623">
        <v>119.3</v>
      </c>
      <c r="D114" s="623"/>
      <c r="E114" s="623"/>
      <c r="F114" s="623">
        <v>119.3</v>
      </c>
      <c r="G114" s="623">
        <v>19884</v>
      </c>
      <c r="H114" s="624" t="s">
        <v>883</v>
      </c>
      <c r="I114" s="623">
        <v>6.0000000000000001E-3</v>
      </c>
      <c r="J114" s="619"/>
      <c r="K114" s="633">
        <v>2.9999999999999997E-4</v>
      </c>
    </row>
    <row r="115" spans="1:11">
      <c r="A115" s="621" t="s">
        <v>988</v>
      </c>
      <c r="B115" s="624" t="s">
        <v>899</v>
      </c>
      <c r="C115" s="623">
        <v>39.770000000000003</v>
      </c>
      <c r="D115" s="623"/>
      <c r="E115" s="623"/>
      <c r="F115" s="623">
        <v>39.770000000000003</v>
      </c>
      <c r="G115" s="623">
        <v>19884</v>
      </c>
      <c r="H115" s="624" t="s">
        <v>883</v>
      </c>
      <c r="I115" s="623">
        <v>2E-3</v>
      </c>
      <c r="J115" s="619"/>
      <c r="K115" s="633">
        <v>1E-4</v>
      </c>
    </row>
    <row r="116" spans="1:11">
      <c r="A116" s="621"/>
      <c r="B116" s="624" t="s">
        <v>901</v>
      </c>
      <c r="C116" s="623">
        <v>306.89</v>
      </c>
      <c r="D116" s="623"/>
      <c r="E116" s="623"/>
      <c r="F116" s="623">
        <v>306.89</v>
      </c>
      <c r="G116" s="623">
        <v>10229.709999999999</v>
      </c>
      <c r="H116" s="623"/>
      <c r="I116" s="623">
        <v>0.03</v>
      </c>
      <c r="J116" s="634"/>
      <c r="K116" s="630">
        <v>5.9999999999999995E-4</v>
      </c>
    </row>
    <row r="117" spans="1:11">
      <c r="A117" s="621">
        <v>2.5</v>
      </c>
      <c r="B117" s="623" t="s">
        <v>989</v>
      </c>
      <c r="C117" s="623">
        <v>10339.379999999999</v>
      </c>
      <c r="D117" s="623">
        <v>0</v>
      </c>
      <c r="E117" s="623">
        <v>0</v>
      </c>
      <c r="F117" s="623">
        <v>10339.379999999999</v>
      </c>
      <c r="G117" s="623">
        <v>19884</v>
      </c>
      <c r="H117" s="624" t="s">
        <v>883</v>
      </c>
      <c r="I117" s="623">
        <v>0.52</v>
      </c>
      <c r="J117" s="634"/>
      <c r="K117" s="630">
        <v>2.18E-2</v>
      </c>
    </row>
    <row r="118" spans="1:11">
      <c r="A118" s="621" t="s">
        <v>307</v>
      </c>
      <c r="B118" s="624" t="s">
        <v>884</v>
      </c>
      <c r="C118" s="623">
        <v>209.79</v>
      </c>
      <c r="D118" s="623"/>
      <c r="E118" s="623"/>
      <c r="F118" s="623">
        <v>209.79</v>
      </c>
      <c r="G118" s="623">
        <v>10489.6</v>
      </c>
      <c r="H118" s="624" t="s">
        <v>883</v>
      </c>
      <c r="I118" s="623">
        <v>0.02</v>
      </c>
      <c r="J118" s="634"/>
      <c r="K118" s="630">
        <v>4.0000000000000002E-4</v>
      </c>
    </row>
    <row r="119" spans="1:11">
      <c r="A119" s="621" t="s">
        <v>308</v>
      </c>
      <c r="B119" s="624" t="s">
        <v>885</v>
      </c>
      <c r="C119" s="623">
        <v>99.42</v>
      </c>
      <c r="D119" s="623"/>
      <c r="E119" s="623"/>
      <c r="F119" s="623">
        <v>99.42</v>
      </c>
      <c r="G119" s="623">
        <v>19884</v>
      </c>
      <c r="H119" s="624" t="s">
        <v>883</v>
      </c>
      <c r="I119" s="623">
        <v>5.0000000000000001E-3</v>
      </c>
      <c r="J119" s="619"/>
      <c r="K119" s="633">
        <v>2.0000000000000001E-4</v>
      </c>
    </row>
    <row r="120" spans="1:11">
      <c r="A120" s="621" t="s">
        <v>309</v>
      </c>
      <c r="B120" s="624" t="s">
        <v>886</v>
      </c>
      <c r="C120" s="623">
        <v>119.3</v>
      </c>
      <c r="D120" s="623"/>
      <c r="E120" s="623"/>
      <c r="F120" s="623">
        <v>119.3</v>
      </c>
      <c r="G120" s="623">
        <v>19884</v>
      </c>
      <c r="H120" s="624" t="s">
        <v>883</v>
      </c>
      <c r="I120" s="623">
        <v>6.0000000000000001E-3</v>
      </c>
      <c r="J120" s="619"/>
      <c r="K120" s="633">
        <v>2.9999999999999997E-4</v>
      </c>
    </row>
    <row r="121" spans="1:11">
      <c r="A121" s="621" t="s">
        <v>310</v>
      </c>
      <c r="B121" s="624" t="s">
        <v>887</v>
      </c>
      <c r="C121" s="623">
        <v>4772.16</v>
      </c>
      <c r="D121" s="623"/>
      <c r="E121" s="623"/>
      <c r="F121" s="623">
        <v>4772.16</v>
      </c>
      <c r="G121" s="623">
        <v>19884</v>
      </c>
      <c r="H121" s="624" t="s">
        <v>883</v>
      </c>
      <c r="I121" s="623">
        <v>0.24</v>
      </c>
      <c r="J121" s="619"/>
      <c r="K121" s="633">
        <v>1.01E-2</v>
      </c>
    </row>
    <row r="122" spans="1:11">
      <c r="A122" s="621" t="s">
        <v>311</v>
      </c>
      <c r="B122" s="624" t="s">
        <v>888</v>
      </c>
      <c r="C122" s="623">
        <v>2386.08</v>
      </c>
      <c r="D122" s="623"/>
      <c r="E122" s="623"/>
      <c r="F122" s="623">
        <v>2386.08</v>
      </c>
      <c r="G122" s="623">
        <v>19884</v>
      </c>
      <c r="H122" s="624" t="s">
        <v>883</v>
      </c>
      <c r="I122" s="623">
        <v>0.12</v>
      </c>
      <c r="J122" s="619"/>
      <c r="K122" s="633">
        <v>5.0000000000000001E-3</v>
      </c>
    </row>
    <row r="123" spans="1:11">
      <c r="A123" s="621" t="s">
        <v>312</v>
      </c>
      <c r="B123" s="624" t="s">
        <v>889</v>
      </c>
      <c r="C123" s="623">
        <v>298.26</v>
      </c>
      <c r="D123" s="623"/>
      <c r="E123" s="623"/>
      <c r="F123" s="623">
        <v>298.26</v>
      </c>
      <c r="G123" s="623">
        <v>19884</v>
      </c>
      <c r="H123" s="624" t="s">
        <v>883</v>
      </c>
      <c r="I123" s="623">
        <v>1.4999999999999999E-2</v>
      </c>
      <c r="J123" s="619"/>
      <c r="K123" s="633">
        <v>5.9999999999999995E-4</v>
      </c>
    </row>
    <row r="124" spans="1:11">
      <c r="A124" s="621" t="s">
        <v>313</v>
      </c>
      <c r="B124" s="624" t="s">
        <v>890</v>
      </c>
      <c r="C124" s="623">
        <v>596.52</v>
      </c>
      <c r="D124" s="623"/>
      <c r="E124" s="623"/>
      <c r="F124" s="623">
        <v>596.52</v>
      </c>
      <c r="G124" s="623">
        <v>19884</v>
      </c>
      <c r="H124" s="624" t="s">
        <v>883</v>
      </c>
      <c r="I124" s="623">
        <v>0.03</v>
      </c>
      <c r="J124" s="619"/>
      <c r="K124" s="633">
        <v>1.2999999999999999E-3</v>
      </c>
    </row>
    <row r="125" spans="1:11">
      <c r="A125" s="621" t="s">
        <v>314</v>
      </c>
      <c r="B125" s="624" t="s">
        <v>892</v>
      </c>
      <c r="C125" s="623">
        <v>1391.88</v>
      </c>
      <c r="D125" s="623"/>
      <c r="E125" s="623"/>
      <c r="F125" s="623">
        <v>1391.88</v>
      </c>
      <c r="G125" s="623">
        <v>19884</v>
      </c>
      <c r="H125" s="624" t="s">
        <v>883</v>
      </c>
      <c r="I125" s="623">
        <v>7.0000000000000007E-2</v>
      </c>
      <c r="J125" s="619"/>
      <c r="K125" s="633">
        <v>2.8999999999999998E-3</v>
      </c>
    </row>
    <row r="126" spans="1:11">
      <c r="A126" s="621" t="s">
        <v>990</v>
      </c>
      <c r="B126" s="624" t="s">
        <v>894</v>
      </c>
      <c r="C126" s="623"/>
      <c r="D126" s="623">
        <v>0</v>
      </c>
      <c r="E126" s="623"/>
      <c r="F126" s="623">
        <v>0</v>
      </c>
      <c r="G126" s="623">
        <v>0</v>
      </c>
      <c r="H126" s="624" t="s">
        <v>895</v>
      </c>
      <c r="I126" s="623">
        <v>45</v>
      </c>
      <c r="J126" s="619"/>
      <c r="K126" s="633">
        <v>0</v>
      </c>
    </row>
    <row r="127" spans="1:11">
      <c r="A127" s="621" t="s">
        <v>991</v>
      </c>
      <c r="B127" s="624" t="s">
        <v>897</v>
      </c>
      <c r="C127" s="623">
        <v>119.3</v>
      </c>
      <c r="D127" s="623"/>
      <c r="E127" s="623"/>
      <c r="F127" s="623">
        <v>119.3</v>
      </c>
      <c r="G127" s="623">
        <v>19884</v>
      </c>
      <c r="H127" s="624" t="s">
        <v>883</v>
      </c>
      <c r="I127" s="623">
        <v>6.0000000000000001E-3</v>
      </c>
      <c r="J127" s="619"/>
      <c r="K127" s="633">
        <v>2.9999999999999997E-4</v>
      </c>
    </row>
    <row r="128" spans="1:11">
      <c r="A128" s="621" t="s">
        <v>992</v>
      </c>
      <c r="B128" s="624" t="s">
        <v>899</v>
      </c>
      <c r="C128" s="623">
        <v>39.770000000000003</v>
      </c>
      <c r="D128" s="623"/>
      <c r="E128" s="623"/>
      <c r="F128" s="623">
        <v>39.770000000000003</v>
      </c>
      <c r="G128" s="623">
        <v>19884</v>
      </c>
      <c r="H128" s="624" t="s">
        <v>883</v>
      </c>
      <c r="I128" s="623">
        <v>2E-3</v>
      </c>
      <c r="J128" s="619"/>
      <c r="K128" s="633">
        <v>1E-4</v>
      </c>
    </row>
    <row r="129" spans="1:11">
      <c r="A129" s="621"/>
      <c r="B129" s="624" t="s">
        <v>901</v>
      </c>
      <c r="C129" s="623">
        <v>306.89</v>
      </c>
      <c r="D129" s="623"/>
      <c r="E129" s="623"/>
      <c r="F129" s="623">
        <v>306.89</v>
      </c>
      <c r="G129" s="623">
        <v>10229.709999999999</v>
      </c>
      <c r="H129" s="623"/>
      <c r="I129" s="623">
        <v>0.03</v>
      </c>
      <c r="J129" s="634"/>
      <c r="K129" s="630">
        <v>5.9999999999999995E-4</v>
      </c>
    </row>
    <row r="130" spans="1:11">
      <c r="A130" s="621">
        <v>2.6</v>
      </c>
      <c r="B130" s="623" t="s">
        <v>993</v>
      </c>
      <c r="C130" s="623">
        <v>7313.74</v>
      </c>
      <c r="D130" s="623">
        <v>0</v>
      </c>
      <c r="E130" s="623">
        <v>0</v>
      </c>
      <c r="F130" s="623">
        <v>7313.74</v>
      </c>
      <c r="G130" s="623">
        <v>12591</v>
      </c>
      <c r="H130" s="624" t="s">
        <v>883</v>
      </c>
      <c r="I130" s="623">
        <v>0.58099999999999996</v>
      </c>
      <c r="J130" s="634"/>
      <c r="K130" s="630">
        <v>1.54E-2</v>
      </c>
    </row>
    <row r="131" spans="1:11">
      <c r="A131" s="621" t="s">
        <v>316</v>
      </c>
      <c r="B131" s="624" t="s">
        <v>884</v>
      </c>
      <c r="C131" s="623">
        <v>257.31</v>
      </c>
      <c r="D131" s="623"/>
      <c r="E131" s="623"/>
      <c r="F131" s="623">
        <v>257.31</v>
      </c>
      <c r="G131" s="623">
        <v>12865.6</v>
      </c>
      <c r="H131" s="624" t="s">
        <v>883</v>
      </c>
      <c r="I131" s="623">
        <v>0.02</v>
      </c>
      <c r="J131" s="634"/>
      <c r="K131" s="630">
        <v>5.0000000000000001E-4</v>
      </c>
    </row>
    <row r="132" spans="1:11">
      <c r="A132" s="621" t="s">
        <v>317</v>
      </c>
      <c r="B132" s="624" t="s">
        <v>885</v>
      </c>
      <c r="C132" s="623">
        <v>62.96</v>
      </c>
      <c r="D132" s="623"/>
      <c r="E132" s="623"/>
      <c r="F132" s="623">
        <v>62.96</v>
      </c>
      <c r="G132" s="623">
        <v>12591</v>
      </c>
      <c r="H132" s="624" t="s">
        <v>883</v>
      </c>
      <c r="I132" s="623">
        <v>5.0000000000000001E-3</v>
      </c>
      <c r="J132" s="619"/>
      <c r="K132" s="633">
        <v>1E-4</v>
      </c>
    </row>
    <row r="133" spans="1:11">
      <c r="A133" s="621" t="s">
        <v>318</v>
      </c>
      <c r="B133" s="624" t="s">
        <v>886</v>
      </c>
      <c r="C133" s="623">
        <v>88.14</v>
      </c>
      <c r="D133" s="623"/>
      <c r="E133" s="623"/>
      <c r="F133" s="623">
        <v>88.14</v>
      </c>
      <c r="G133" s="623">
        <v>12591</v>
      </c>
      <c r="H133" s="624" t="s">
        <v>883</v>
      </c>
      <c r="I133" s="623">
        <v>7.0000000000000001E-3</v>
      </c>
      <c r="J133" s="619"/>
      <c r="K133" s="633">
        <v>2.0000000000000001E-4</v>
      </c>
    </row>
    <row r="134" spans="1:11">
      <c r="A134" s="621" t="s">
        <v>319</v>
      </c>
      <c r="B134" s="624" t="s">
        <v>887</v>
      </c>
      <c r="C134" s="623">
        <v>3147.75</v>
      </c>
      <c r="D134" s="623"/>
      <c r="E134" s="623"/>
      <c r="F134" s="623">
        <v>3147.75</v>
      </c>
      <c r="G134" s="623">
        <v>12591</v>
      </c>
      <c r="H134" s="624" t="s">
        <v>883</v>
      </c>
      <c r="I134" s="623">
        <v>0.25</v>
      </c>
      <c r="J134" s="619"/>
      <c r="K134" s="633">
        <v>6.6E-3</v>
      </c>
    </row>
    <row r="135" spans="1:11">
      <c r="A135" s="621" t="s">
        <v>320</v>
      </c>
      <c r="B135" s="624" t="s">
        <v>888</v>
      </c>
      <c r="C135" s="623">
        <v>1888.65</v>
      </c>
      <c r="D135" s="623"/>
      <c r="E135" s="623"/>
      <c r="F135" s="623">
        <v>1888.65</v>
      </c>
      <c r="G135" s="623">
        <v>12591</v>
      </c>
      <c r="H135" s="624" t="s">
        <v>883</v>
      </c>
      <c r="I135" s="623">
        <v>0.15</v>
      </c>
      <c r="J135" s="619"/>
      <c r="K135" s="633">
        <v>4.0000000000000001E-3</v>
      </c>
    </row>
    <row r="136" spans="1:11">
      <c r="A136" s="621" t="s">
        <v>321</v>
      </c>
      <c r="B136" s="624" t="s">
        <v>889</v>
      </c>
      <c r="C136" s="623">
        <v>188.87</v>
      </c>
      <c r="D136" s="623"/>
      <c r="E136" s="623"/>
      <c r="F136" s="623">
        <v>188.87</v>
      </c>
      <c r="G136" s="623">
        <v>12591</v>
      </c>
      <c r="H136" s="624" t="s">
        <v>883</v>
      </c>
      <c r="I136" s="623">
        <v>1.4999999999999999E-2</v>
      </c>
      <c r="J136" s="619"/>
      <c r="K136" s="633">
        <v>4.0000000000000002E-4</v>
      </c>
    </row>
    <row r="137" spans="1:11">
      <c r="A137" s="621" t="s">
        <v>322</v>
      </c>
      <c r="B137" s="624" t="s">
        <v>890</v>
      </c>
      <c r="C137" s="623">
        <v>503.64</v>
      </c>
      <c r="D137" s="623"/>
      <c r="E137" s="623"/>
      <c r="F137" s="623">
        <v>503.64</v>
      </c>
      <c r="G137" s="623">
        <v>12591</v>
      </c>
      <c r="H137" s="624" t="s">
        <v>883</v>
      </c>
      <c r="I137" s="623">
        <v>0.04</v>
      </c>
      <c r="J137" s="619"/>
      <c r="K137" s="633">
        <v>1.1000000000000001E-3</v>
      </c>
    </row>
    <row r="138" spans="1:11">
      <c r="A138" s="621" t="s">
        <v>323</v>
      </c>
      <c r="B138" s="624" t="s">
        <v>892</v>
      </c>
      <c r="C138" s="623">
        <v>881.37</v>
      </c>
      <c r="D138" s="623"/>
      <c r="E138" s="623"/>
      <c r="F138" s="623">
        <v>881.37</v>
      </c>
      <c r="G138" s="623">
        <v>12591</v>
      </c>
      <c r="H138" s="624" t="s">
        <v>883</v>
      </c>
      <c r="I138" s="623">
        <v>7.0000000000000007E-2</v>
      </c>
      <c r="J138" s="619"/>
      <c r="K138" s="633">
        <v>1.9E-3</v>
      </c>
    </row>
    <row r="139" spans="1:11">
      <c r="A139" s="621" t="s">
        <v>994</v>
      </c>
      <c r="B139" s="624" t="s">
        <v>894</v>
      </c>
      <c r="C139" s="623"/>
      <c r="D139" s="623">
        <v>0</v>
      </c>
      <c r="E139" s="623"/>
      <c r="F139" s="623">
        <v>0</v>
      </c>
      <c r="G139" s="623">
        <v>0</v>
      </c>
      <c r="H139" s="624" t="s">
        <v>895</v>
      </c>
      <c r="I139" s="623">
        <v>45</v>
      </c>
      <c r="J139" s="619"/>
      <c r="K139" s="633">
        <v>0</v>
      </c>
    </row>
    <row r="140" spans="1:11">
      <c r="A140" s="621" t="s">
        <v>995</v>
      </c>
      <c r="B140" s="624" t="s">
        <v>897</v>
      </c>
      <c r="C140" s="623">
        <v>75.55</v>
      </c>
      <c r="D140" s="623"/>
      <c r="E140" s="623"/>
      <c r="F140" s="623">
        <v>75.55</v>
      </c>
      <c r="G140" s="623">
        <v>12591</v>
      </c>
      <c r="H140" s="624" t="s">
        <v>883</v>
      </c>
      <c r="I140" s="623">
        <v>6.0000000000000001E-3</v>
      </c>
      <c r="J140" s="619"/>
      <c r="K140" s="633">
        <v>2.0000000000000001E-4</v>
      </c>
    </row>
    <row r="141" spans="1:11">
      <c r="A141" s="621" t="s">
        <v>996</v>
      </c>
      <c r="B141" s="624" t="s">
        <v>899</v>
      </c>
      <c r="C141" s="623">
        <v>25.18</v>
      </c>
      <c r="D141" s="623"/>
      <c r="E141" s="623"/>
      <c r="F141" s="623">
        <v>25.18</v>
      </c>
      <c r="G141" s="623">
        <v>12591</v>
      </c>
      <c r="H141" s="624" t="s">
        <v>883</v>
      </c>
      <c r="I141" s="623">
        <v>2E-3</v>
      </c>
      <c r="J141" s="619"/>
      <c r="K141" s="633">
        <v>1E-4</v>
      </c>
    </row>
    <row r="142" spans="1:11">
      <c r="A142" s="621"/>
      <c r="B142" s="624" t="s">
        <v>901</v>
      </c>
      <c r="C142" s="623">
        <v>194.33</v>
      </c>
      <c r="D142" s="623"/>
      <c r="E142" s="623"/>
      <c r="F142" s="623">
        <v>194.33</v>
      </c>
      <c r="G142" s="623">
        <v>6477.69</v>
      </c>
      <c r="H142" s="624" t="s">
        <v>883</v>
      </c>
      <c r="I142" s="623">
        <v>0.03</v>
      </c>
      <c r="J142" s="634"/>
      <c r="K142" s="630">
        <v>4.0000000000000002E-4</v>
      </c>
    </row>
    <row r="143" spans="1:11">
      <c r="A143" s="621">
        <v>2.7</v>
      </c>
      <c r="B143" s="623" t="s">
        <v>997</v>
      </c>
      <c r="C143" s="623">
        <v>7313.74</v>
      </c>
      <c r="D143" s="623">
        <v>0</v>
      </c>
      <c r="E143" s="623">
        <v>0</v>
      </c>
      <c r="F143" s="623">
        <v>7313.74</v>
      </c>
      <c r="G143" s="623">
        <v>12591</v>
      </c>
      <c r="H143" s="624" t="s">
        <v>883</v>
      </c>
      <c r="I143" s="623">
        <v>0.58099999999999996</v>
      </c>
      <c r="J143" s="634"/>
      <c r="K143" s="630">
        <v>1.54E-2</v>
      </c>
    </row>
    <row r="144" spans="1:11">
      <c r="A144" s="621" t="s">
        <v>325</v>
      </c>
      <c r="B144" s="624" t="s">
        <v>884</v>
      </c>
      <c r="C144" s="623">
        <v>257.31</v>
      </c>
      <c r="D144" s="623"/>
      <c r="E144" s="623"/>
      <c r="F144" s="623">
        <v>257.31</v>
      </c>
      <c r="G144" s="623">
        <v>12865.6</v>
      </c>
      <c r="H144" s="624" t="s">
        <v>883</v>
      </c>
      <c r="I144" s="623">
        <v>0.02</v>
      </c>
      <c r="J144" s="634"/>
      <c r="K144" s="630">
        <v>5.0000000000000001E-4</v>
      </c>
    </row>
    <row r="145" spans="1:11">
      <c r="A145" s="621" t="s">
        <v>326</v>
      </c>
      <c r="B145" s="624" t="s">
        <v>885</v>
      </c>
      <c r="C145" s="623">
        <v>62.96</v>
      </c>
      <c r="D145" s="623"/>
      <c r="E145" s="623"/>
      <c r="F145" s="623">
        <v>62.96</v>
      </c>
      <c r="G145" s="623">
        <v>12591</v>
      </c>
      <c r="H145" s="624" t="s">
        <v>883</v>
      </c>
      <c r="I145" s="623">
        <v>5.0000000000000001E-3</v>
      </c>
      <c r="J145" s="619"/>
      <c r="K145" s="633">
        <v>1E-4</v>
      </c>
    </row>
    <row r="146" spans="1:11">
      <c r="A146" s="621" t="s">
        <v>327</v>
      </c>
      <c r="B146" s="624" t="s">
        <v>886</v>
      </c>
      <c r="C146" s="623">
        <v>88.14</v>
      </c>
      <c r="D146" s="623"/>
      <c r="E146" s="623"/>
      <c r="F146" s="623">
        <v>88.14</v>
      </c>
      <c r="G146" s="623">
        <v>12591</v>
      </c>
      <c r="H146" s="624" t="s">
        <v>883</v>
      </c>
      <c r="I146" s="623">
        <v>7.0000000000000001E-3</v>
      </c>
      <c r="J146" s="619"/>
      <c r="K146" s="633">
        <v>2.0000000000000001E-4</v>
      </c>
    </row>
    <row r="147" spans="1:11">
      <c r="A147" s="621" t="s">
        <v>328</v>
      </c>
      <c r="B147" s="624" t="s">
        <v>887</v>
      </c>
      <c r="C147" s="623">
        <v>3147.75</v>
      </c>
      <c r="D147" s="623"/>
      <c r="E147" s="623"/>
      <c r="F147" s="623">
        <v>3147.75</v>
      </c>
      <c r="G147" s="623">
        <v>12591</v>
      </c>
      <c r="H147" s="624" t="s">
        <v>883</v>
      </c>
      <c r="I147" s="623">
        <v>0.25</v>
      </c>
      <c r="J147" s="619"/>
      <c r="K147" s="633">
        <v>6.6E-3</v>
      </c>
    </row>
    <row r="148" spans="1:11">
      <c r="A148" s="621" t="s">
        <v>329</v>
      </c>
      <c r="B148" s="624" t="s">
        <v>888</v>
      </c>
      <c r="C148" s="623">
        <v>1888.65</v>
      </c>
      <c r="D148" s="623"/>
      <c r="E148" s="623"/>
      <c r="F148" s="623">
        <v>1888.65</v>
      </c>
      <c r="G148" s="623">
        <v>12591</v>
      </c>
      <c r="H148" s="624" t="s">
        <v>883</v>
      </c>
      <c r="I148" s="623">
        <v>0.15</v>
      </c>
      <c r="J148" s="619"/>
      <c r="K148" s="633">
        <v>4.0000000000000001E-3</v>
      </c>
    </row>
    <row r="149" spans="1:11">
      <c r="A149" s="621" t="s">
        <v>330</v>
      </c>
      <c r="B149" s="624" t="s">
        <v>889</v>
      </c>
      <c r="C149" s="623">
        <v>188.87</v>
      </c>
      <c r="D149" s="623"/>
      <c r="E149" s="623"/>
      <c r="F149" s="623">
        <v>188.87</v>
      </c>
      <c r="G149" s="623">
        <v>12591</v>
      </c>
      <c r="H149" s="624" t="s">
        <v>883</v>
      </c>
      <c r="I149" s="623">
        <v>1.4999999999999999E-2</v>
      </c>
      <c r="J149" s="619"/>
      <c r="K149" s="633">
        <v>4.0000000000000002E-4</v>
      </c>
    </row>
    <row r="150" spans="1:11">
      <c r="A150" s="621" t="s">
        <v>331</v>
      </c>
      <c r="B150" s="624" t="s">
        <v>890</v>
      </c>
      <c r="C150" s="623">
        <v>503.64</v>
      </c>
      <c r="D150" s="623"/>
      <c r="E150" s="623"/>
      <c r="F150" s="623">
        <v>503.64</v>
      </c>
      <c r="G150" s="623">
        <v>12591</v>
      </c>
      <c r="H150" s="624" t="s">
        <v>883</v>
      </c>
      <c r="I150" s="623">
        <v>0.04</v>
      </c>
      <c r="J150" s="619"/>
      <c r="K150" s="633">
        <v>1.1000000000000001E-3</v>
      </c>
    </row>
    <row r="151" spans="1:11">
      <c r="A151" s="621" t="s">
        <v>332</v>
      </c>
      <c r="B151" s="624" t="s">
        <v>892</v>
      </c>
      <c r="C151" s="623">
        <v>881.37</v>
      </c>
      <c r="D151" s="623"/>
      <c r="E151" s="623"/>
      <c r="F151" s="623">
        <v>881.37</v>
      </c>
      <c r="G151" s="623">
        <v>12591</v>
      </c>
      <c r="H151" s="624" t="s">
        <v>883</v>
      </c>
      <c r="I151" s="623">
        <v>7.0000000000000007E-2</v>
      </c>
      <c r="J151" s="619"/>
      <c r="K151" s="633">
        <v>1.9E-3</v>
      </c>
    </row>
    <row r="152" spans="1:11">
      <c r="A152" s="621" t="s">
        <v>998</v>
      </c>
      <c r="B152" s="624" t="s">
        <v>894</v>
      </c>
      <c r="C152" s="623"/>
      <c r="D152" s="623">
        <v>0</v>
      </c>
      <c r="E152" s="623"/>
      <c r="F152" s="623">
        <v>0</v>
      </c>
      <c r="G152" s="623">
        <v>0</v>
      </c>
      <c r="H152" s="624" t="s">
        <v>895</v>
      </c>
      <c r="I152" s="623">
        <v>45</v>
      </c>
      <c r="J152" s="619"/>
      <c r="K152" s="633">
        <v>0</v>
      </c>
    </row>
    <row r="153" spans="1:11">
      <c r="A153" s="621" t="s">
        <v>999</v>
      </c>
      <c r="B153" s="624" t="s">
        <v>897</v>
      </c>
      <c r="C153" s="623">
        <v>75.55</v>
      </c>
      <c r="D153" s="623"/>
      <c r="E153" s="623"/>
      <c r="F153" s="623">
        <v>75.55</v>
      </c>
      <c r="G153" s="623">
        <v>12591</v>
      </c>
      <c r="H153" s="624" t="s">
        <v>883</v>
      </c>
      <c r="I153" s="623">
        <v>6.0000000000000001E-3</v>
      </c>
      <c r="J153" s="619"/>
      <c r="K153" s="633">
        <v>2.0000000000000001E-4</v>
      </c>
    </row>
    <row r="154" spans="1:11">
      <c r="A154" s="621" t="s">
        <v>1000</v>
      </c>
      <c r="B154" s="624" t="s">
        <v>899</v>
      </c>
      <c r="C154" s="623">
        <v>25.18</v>
      </c>
      <c r="D154" s="623"/>
      <c r="E154" s="623"/>
      <c r="F154" s="623">
        <v>25.18</v>
      </c>
      <c r="G154" s="623">
        <v>12591</v>
      </c>
      <c r="H154" s="624" t="s">
        <v>883</v>
      </c>
      <c r="I154" s="623">
        <v>2E-3</v>
      </c>
      <c r="J154" s="619"/>
      <c r="K154" s="633">
        <v>1E-4</v>
      </c>
    </row>
    <row r="155" spans="1:11">
      <c r="A155" s="621"/>
      <c r="B155" s="624" t="s">
        <v>901</v>
      </c>
      <c r="C155" s="623">
        <v>194.33</v>
      </c>
      <c r="D155" s="623"/>
      <c r="E155" s="623"/>
      <c r="F155" s="623">
        <v>194.33</v>
      </c>
      <c r="G155" s="623">
        <v>6477.69</v>
      </c>
      <c r="H155" s="623"/>
      <c r="I155" s="623">
        <v>0.03</v>
      </c>
      <c r="J155" s="634"/>
      <c r="K155" s="630">
        <v>4.0000000000000002E-4</v>
      </c>
    </row>
    <row r="156" spans="1:11">
      <c r="A156" s="621">
        <v>2.8</v>
      </c>
      <c r="B156" s="623" t="s">
        <v>1001</v>
      </c>
      <c r="C156" s="623">
        <v>5751.26</v>
      </c>
      <c r="D156" s="623">
        <v>0</v>
      </c>
      <c r="E156" s="623">
        <v>0</v>
      </c>
      <c r="F156" s="623">
        <v>5751.26</v>
      </c>
      <c r="G156" s="623">
        <v>9908</v>
      </c>
      <c r="H156" s="624" t="s">
        <v>883</v>
      </c>
      <c r="I156" s="623">
        <v>0.57999999999999996</v>
      </c>
      <c r="J156" s="634"/>
      <c r="K156" s="630">
        <v>1.21E-2</v>
      </c>
    </row>
    <row r="157" spans="1:11">
      <c r="A157" s="621" t="s">
        <v>183</v>
      </c>
      <c r="B157" s="624" t="s">
        <v>884</v>
      </c>
      <c r="C157" s="623">
        <v>198.48</v>
      </c>
      <c r="D157" s="623"/>
      <c r="E157" s="623"/>
      <c r="F157" s="623">
        <v>198.48</v>
      </c>
      <c r="G157" s="623">
        <v>9924.2000000000007</v>
      </c>
      <c r="H157" s="624" t="s">
        <v>883</v>
      </c>
      <c r="I157" s="623">
        <v>0.02</v>
      </c>
      <c r="J157" s="634"/>
      <c r="K157" s="630">
        <v>4.0000000000000002E-4</v>
      </c>
    </row>
    <row r="158" spans="1:11">
      <c r="A158" s="621" t="s">
        <v>184</v>
      </c>
      <c r="B158" s="624" t="s">
        <v>885</v>
      </c>
      <c r="C158" s="623">
        <v>49.54</v>
      </c>
      <c r="D158" s="623"/>
      <c r="E158" s="623"/>
      <c r="F158" s="623">
        <v>49.54</v>
      </c>
      <c r="G158" s="623">
        <v>9908</v>
      </c>
      <c r="H158" s="624" t="s">
        <v>883</v>
      </c>
      <c r="I158" s="623">
        <v>5.0000000000000001E-3</v>
      </c>
      <c r="J158" s="619"/>
      <c r="K158" s="633">
        <v>1E-4</v>
      </c>
    </row>
    <row r="159" spans="1:11">
      <c r="A159" s="621" t="s">
        <v>185</v>
      </c>
      <c r="B159" s="624" t="s">
        <v>886</v>
      </c>
      <c r="C159" s="623">
        <v>69.36</v>
      </c>
      <c r="D159" s="623"/>
      <c r="E159" s="623"/>
      <c r="F159" s="623">
        <v>69.36</v>
      </c>
      <c r="G159" s="623">
        <v>9908</v>
      </c>
      <c r="H159" s="624" t="s">
        <v>883</v>
      </c>
      <c r="I159" s="623">
        <v>7.0000000000000001E-3</v>
      </c>
      <c r="J159" s="619"/>
      <c r="K159" s="633">
        <v>1E-4</v>
      </c>
    </row>
    <row r="160" spans="1:11">
      <c r="A160" s="621" t="s">
        <v>186</v>
      </c>
      <c r="B160" s="624" t="s">
        <v>887</v>
      </c>
      <c r="C160" s="623">
        <v>2477</v>
      </c>
      <c r="D160" s="623"/>
      <c r="E160" s="623"/>
      <c r="F160" s="623">
        <v>2477</v>
      </c>
      <c r="G160" s="623">
        <v>9908</v>
      </c>
      <c r="H160" s="624" t="s">
        <v>883</v>
      </c>
      <c r="I160" s="623">
        <v>0.25</v>
      </c>
      <c r="J160" s="619"/>
      <c r="K160" s="633">
        <v>5.1999999999999998E-3</v>
      </c>
    </row>
    <row r="161" spans="1:11">
      <c r="A161" s="621" t="s">
        <v>187</v>
      </c>
      <c r="B161" s="624" t="s">
        <v>888</v>
      </c>
      <c r="C161" s="623">
        <v>1486.2</v>
      </c>
      <c r="D161" s="623"/>
      <c r="E161" s="623"/>
      <c r="F161" s="623">
        <v>1486.2</v>
      </c>
      <c r="G161" s="623">
        <v>9908</v>
      </c>
      <c r="H161" s="624" t="s">
        <v>883</v>
      </c>
      <c r="I161" s="623">
        <v>0.15</v>
      </c>
      <c r="J161" s="619"/>
      <c r="K161" s="633">
        <v>3.0999999999999999E-3</v>
      </c>
    </row>
    <row r="162" spans="1:11">
      <c r="A162" s="621" t="s">
        <v>188</v>
      </c>
      <c r="B162" s="624" t="s">
        <v>889</v>
      </c>
      <c r="C162" s="623">
        <v>148.62</v>
      </c>
      <c r="D162" s="623"/>
      <c r="E162" s="623"/>
      <c r="F162" s="623">
        <v>148.62</v>
      </c>
      <c r="G162" s="623">
        <v>9908</v>
      </c>
      <c r="H162" s="624" t="s">
        <v>883</v>
      </c>
      <c r="I162" s="623">
        <v>1.4999999999999999E-2</v>
      </c>
      <c r="J162" s="619"/>
      <c r="K162" s="633">
        <v>2.9999999999999997E-4</v>
      </c>
    </row>
    <row r="163" spans="1:11">
      <c r="A163" s="621" t="s">
        <v>189</v>
      </c>
      <c r="B163" s="624" t="s">
        <v>890</v>
      </c>
      <c r="C163" s="623">
        <v>396.32</v>
      </c>
      <c r="D163" s="623"/>
      <c r="E163" s="623"/>
      <c r="F163" s="623">
        <v>396.32</v>
      </c>
      <c r="G163" s="623">
        <v>9908</v>
      </c>
      <c r="H163" s="624" t="s">
        <v>883</v>
      </c>
      <c r="I163" s="623">
        <v>0.04</v>
      </c>
      <c r="J163" s="619"/>
      <c r="K163" s="633">
        <v>8.0000000000000004E-4</v>
      </c>
    </row>
    <row r="164" spans="1:11">
      <c r="A164" s="621" t="s">
        <v>190</v>
      </c>
      <c r="B164" s="624" t="s">
        <v>892</v>
      </c>
      <c r="C164" s="623">
        <v>693.56</v>
      </c>
      <c r="D164" s="623"/>
      <c r="E164" s="623"/>
      <c r="F164" s="623">
        <v>693.56</v>
      </c>
      <c r="G164" s="623">
        <v>9908</v>
      </c>
      <c r="H164" s="624" t="s">
        <v>883</v>
      </c>
      <c r="I164" s="623">
        <v>7.0000000000000007E-2</v>
      </c>
      <c r="J164" s="619"/>
      <c r="K164" s="633">
        <v>1.5E-3</v>
      </c>
    </row>
    <row r="165" spans="1:11">
      <c r="A165" s="621" t="s">
        <v>1002</v>
      </c>
      <c r="B165" s="624" t="s">
        <v>894</v>
      </c>
      <c r="C165" s="623"/>
      <c r="D165" s="623">
        <v>0</v>
      </c>
      <c r="E165" s="623"/>
      <c r="F165" s="623">
        <v>0</v>
      </c>
      <c r="G165" s="623">
        <v>0</v>
      </c>
      <c r="H165" s="624" t="s">
        <v>895</v>
      </c>
      <c r="I165" s="623">
        <v>45</v>
      </c>
      <c r="J165" s="619"/>
      <c r="K165" s="633">
        <v>0</v>
      </c>
    </row>
    <row r="166" spans="1:11">
      <c r="A166" s="621" t="s">
        <v>1003</v>
      </c>
      <c r="B166" s="624" t="s">
        <v>897</v>
      </c>
      <c r="C166" s="623">
        <v>59.45</v>
      </c>
      <c r="D166" s="623"/>
      <c r="E166" s="623"/>
      <c r="F166" s="623">
        <v>59.45</v>
      </c>
      <c r="G166" s="623">
        <v>9908</v>
      </c>
      <c r="H166" s="624" t="s">
        <v>883</v>
      </c>
      <c r="I166" s="623">
        <v>6.0000000000000001E-3</v>
      </c>
      <c r="J166" s="619"/>
      <c r="K166" s="633">
        <v>1E-4</v>
      </c>
    </row>
    <row r="167" spans="1:11">
      <c r="A167" s="621" t="s">
        <v>1004</v>
      </c>
      <c r="B167" s="624" t="s">
        <v>899</v>
      </c>
      <c r="C167" s="623">
        <v>19.82</v>
      </c>
      <c r="D167" s="623"/>
      <c r="E167" s="623"/>
      <c r="F167" s="623">
        <v>19.82</v>
      </c>
      <c r="G167" s="623">
        <v>9908</v>
      </c>
      <c r="H167" s="624" t="s">
        <v>883</v>
      </c>
      <c r="I167" s="623">
        <v>2E-3</v>
      </c>
      <c r="J167" s="619"/>
      <c r="K167" s="633">
        <v>0</v>
      </c>
    </row>
    <row r="168" spans="1:11">
      <c r="A168" s="621"/>
      <c r="B168" s="624" t="s">
        <v>901</v>
      </c>
      <c r="C168" s="623">
        <v>152.91999999999999</v>
      </c>
      <c r="D168" s="623"/>
      <c r="E168" s="623"/>
      <c r="F168" s="623">
        <v>152.91999999999999</v>
      </c>
      <c r="G168" s="623">
        <v>5097.3599999999997</v>
      </c>
      <c r="H168" s="623"/>
      <c r="I168" s="623">
        <v>0.03</v>
      </c>
      <c r="J168" s="634"/>
      <c r="K168" s="630">
        <v>2.9999999999999997E-4</v>
      </c>
    </row>
    <row r="169" spans="1:11">
      <c r="A169" s="621">
        <v>2.9</v>
      </c>
      <c r="B169" s="623" t="s">
        <v>1005</v>
      </c>
      <c r="C169" s="623">
        <v>6609.76</v>
      </c>
      <c r="D169" s="623">
        <v>0</v>
      </c>
      <c r="E169" s="623">
        <v>0</v>
      </c>
      <c r="F169" s="623">
        <v>6609.76</v>
      </c>
      <c r="G169" s="623">
        <v>11387</v>
      </c>
      <c r="H169" s="624" t="s">
        <v>883</v>
      </c>
      <c r="I169" s="623">
        <v>0.57999999999999996</v>
      </c>
      <c r="J169" s="634"/>
      <c r="K169" s="630">
        <v>1.4E-2</v>
      </c>
    </row>
    <row r="170" spans="1:11">
      <c r="A170" s="621" t="s">
        <v>248</v>
      </c>
      <c r="B170" s="624" t="s">
        <v>884</v>
      </c>
      <c r="C170" s="623">
        <v>228.1</v>
      </c>
      <c r="D170" s="623"/>
      <c r="E170" s="623"/>
      <c r="F170" s="623">
        <v>228.1</v>
      </c>
      <c r="G170" s="623">
        <v>11404.8</v>
      </c>
      <c r="H170" s="624" t="s">
        <v>883</v>
      </c>
      <c r="I170" s="623">
        <v>0.02</v>
      </c>
      <c r="J170" s="634"/>
      <c r="K170" s="630">
        <v>5.0000000000000001E-4</v>
      </c>
    </row>
    <row r="171" spans="1:11">
      <c r="A171" s="621" t="s">
        <v>249</v>
      </c>
      <c r="B171" s="624" t="s">
        <v>885</v>
      </c>
      <c r="C171" s="623">
        <v>56.94</v>
      </c>
      <c r="D171" s="623"/>
      <c r="E171" s="623"/>
      <c r="F171" s="623">
        <v>56.94</v>
      </c>
      <c r="G171" s="623">
        <v>11387</v>
      </c>
      <c r="H171" s="624" t="s">
        <v>883</v>
      </c>
      <c r="I171" s="623">
        <v>5.0000000000000001E-3</v>
      </c>
      <c r="J171" s="619"/>
      <c r="K171" s="633">
        <v>1E-4</v>
      </c>
    </row>
    <row r="172" spans="1:11">
      <c r="A172" s="621" t="s">
        <v>250</v>
      </c>
      <c r="B172" s="624" t="s">
        <v>886</v>
      </c>
      <c r="C172" s="623">
        <v>79.709999999999994</v>
      </c>
      <c r="D172" s="623"/>
      <c r="E172" s="623"/>
      <c r="F172" s="623">
        <v>79.709999999999994</v>
      </c>
      <c r="G172" s="623">
        <v>11387</v>
      </c>
      <c r="H172" s="624" t="s">
        <v>883</v>
      </c>
      <c r="I172" s="623">
        <v>7.0000000000000001E-3</v>
      </c>
      <c r="J172" s="619"/>
      <c r="K172" s="633">
        <v>2.0000000000000001E-4</v>
      </c>
    </row>
    <row r="173" spans="1:11">
      <c r="A173" s="621" t="s">
        <v>251</v>
      </c>
      <c r="B173" s="624" t="s">
        <v>887</v>
      </c>
      <c r="C173" s="623">
        <v>2846.75</v>
      </c>
      <c r="D173" s="623"/>
      <c r="E173" s="623"/>
      <c r="F173" s="623">
        <v>2846.75</v>
      </c>
      <c r="G173" s="623">
        <v>11387</v>
      </c>
      <c r="H173" s="624" t="s">
        <v>883</v>
      </c>
      <c r="I173" s="623">
        <v>0.25</v>
      </c>
      <c r="J173" s="619"/>
      <c r="K173" s="633">
        <v>6.0000000000000001E-3</v>
      </c>
    </row>
    <row r="174" spans="1:11">
      <c r="A174" s="621" t="s">
        <v>252</v>
      </c>
      <c r="B174" s="624" t="s">
        <v>888</v>
      </c>
      <c r="C174" s="623">
        <v>1708.05</v>
      </c>
      <c r="D174" s="623"/>
      <c r="E174" s="623"/>
      <c r="F174" s="623">
        <v>1708.05</v>
      </c>
      <c r="G174" s="623">
        <v>11387</v>
      </c>
      <c r="H174" s="624" t="s">
        <v>883</v>
      </c>
      <c r="I174" s="623">
        <v>0.15</v>
      </c>
      <c r="J174" s="619"/>
      <c r="K174" s="633">
        <v>3.5999999999999999E-3</v>
      </c>
    </row>
    <row r="175" spans="1:11">
      <c r="A175" s="621" t="s">
        <v>253</v>
      </c>
      <c r="B175" s="624" t="s">
        <v>889</v>
      </c>
      <c r="C175" s="623">
        <v>170.81</v>
      </c>
      <c r="D175" s="623"/>
      <c r="E175" s="623"/>
      <c r="F175" s="623">
        <v>170.81</v>
      </c>
      <c r="G175" s="623">
        <v>11387</v>
      </c>
      <c r="H175" s="624" t="s">
        <v>883</v>
      </c>
      <c r="I175" s="623">
        <v>1.4999999999999999E-2</v>
      </c>
      <c r="J175" s="619"/>
      <c r="K175" s="633">
        <v>4.0000000000000002E-4</v>
      </c>
    </row>
    <row r="176" spans="1:11">
      <c r="A176" s="621" t="s">
        <v>254</v>
      </c>
      <c r="B176" s="624" t="s">
        <v>890</v>
      </c>
      <c r="C176" s="623">
        <v>455.48</v>
      </c>
      <c r="D176" s="623"/>
      <c r="E176" s="623"/>
      <c r="F176" s="623">
        <v>455.48</v>
      </c>
      <c r="G176" s="623">
        <v>11387</v>
      </c>
      <c r="H176" s="624" t="s">
        <v>883</v>
      </c>
      <c r="I176" s="623">
        <v>0.04</v>
      </c>
      <c r="J176" s="619"/>
      <c r="K176" s="633">
        <v>1E-3</v>
      </c>
    </row>
    <row r="177" spans="1:11">
      <c r="A177" s="621" t="s">
        <v>255</v>
      </c>
      <c r="B177" s="624" t="s">
        <v>892</v>
      </c>
      <c r="C177" s="623">
        <v>797.09</v>
      </c>
      <c r="D177" s="623"/>
      <c r="E177" s="623"/>
      <c r="F177" s="623">
        <v>797.09</v>
      </c>
      <c r="G177" s="623">
        <v>11387</v>
      </c>
      <c r="H177" s="624" t="s">
        <v>883</v>
      </c>
      <c r="I177" s="623">
        <v>7.0000000000000007E-2</v>
      </c>
      <c r="J177" s="619"/>
      <c r="K177" s="633">
        <v>1.6999999999999999E-3</v>
      </c>
    </row>
    <row r="178" spans="1:11">
      <c r="A178" s="621" t="s">
        <v>1006</v>
      </c>
      <c r="B178" s="624" t="s">
        <v>894</v>
      </c>
      <c r="C178" s="623"/>
      <c r="D178" s="623">
        <v>0</v>
      </c>
      <c r="E178" s="623"/>
      <c r="F178" s="623">
        <v>0</v>
      </c>
      <c r="G178" s="623">
        <v>0</v>
      </c>
      <c r="H178" s="624" t="s">
        <v>895</v>
      </c>
      <c r="I178" s="623">
        <v>45</v>
      </c>
      <c r="J178" s="619"/>
      <c r="K178" s="633">
        <v>0</v>
      </c>
    </row>
    <row r="179" spans="1:11">
      <c r="A179" s="621" t="s">
        <v>1007</v>
      </c>
      <c r="B179" s="624" t="s">
        <v>897</v>
      </c>
      <c r="C179" s="623">
        <v>68.319999999999993</v>
      </c>
      <c r="D179" s="623"/>
      <c r="E179" s="623"/>
      <c r="F179" s="623">
        <v>68.319999999999993</v>
      </c>
      <c r="G179" s="623">
        <v>11387</v>
      </c>
      <c r="H179" s="624" t="s">
        <v>883</v>
      </c>
      <c r="I179" s="623">
        <v>6.0000000000000001E-3</v>
      </c>
      <c r="J179" s="619"/>
      <c r="K179" s="633">
        <v>1E-4</v>
      </c>
    </row>
    <row r="180" spans="1:11">
      <c r="A180" s="621" t="s">
        <v>1008</v>
      </c>
      <c r="B180" s="624" t="s">
        <v>899</v>
      </c>
      <c r="C180" s="623">
        <v>22.77</v>
      </c>
      <c r="D180" s="623"/>
      <c r="E180" s="623"/>
      <c r="F180" s="623">
        <v>22.77</v>
      </c>
      <c r="G180" s="623">
        <v>11387</v>
      </c>
      <c r="H180" s="624" t="s">
        <v>883</v>
      </c>
      <c r="I180" s="623">
        <v>2E-3</v>
      </c>
      <c r="J180" s="619"/>
      <c r="K180" s="633">
        <v>0</v>
      </c>
    </row>
    <row r="181" spans="1:11">
      <c r="A181" s="621"/>
      <c r="B181" s="624" t="s">
        <v>901</v>
      </c>
      <c r="C181" s="623">
        <v>175.75</v>
      </c>
      <c r="D181" s="623"/>
      <c r="E181" s="623"/>
      <c r="F181" s="623">
        <v>175.75</v>
      </c>
      <c r="G181" s="623">
        <v>5858.26</v>
      </c>
      <c r="H181" s="623"/>
      <c r="I181" s="623">
        <v>0.03</v>
      </c>
      <c r="J181" s="634"/>
      <c r="K181" s="630">
        <v>4.0000000000000002E-4</v>
      </c>
    </row>
    <row r="182" spans="1:11">
      <c r="A182" s="621">
        <v>2.1</v>
      </c>
      <c r="B182" s="623" t="s">
        <v>1009</v>
      </c>
      <c r="C182" s="623">
        <v>6609.76</v>
      </c>
      <c r="D182" s="623">
        <v>0</v>
      </c>
      <c r="E182" s="623">
        <v>0</v>
      </c>
      <c r="F182" s="623">
        <v>6609.76</v>
      </c>
      <c r="G182" s="623">
        <v>11387</v>
      </c>
      <c r="H182" s="624" t="s">
        <v>883</v>
      </c>
      <c r="I182" s="623">
        <v>0.57999999999999996</v>
      </c>
      <c r="J182" s="634"/>
      <c r="K182" s="630">
        <v>1.4E-2</v>
      </c>
    </row>
    <row r="183" spans="1:11">
      <c r="A183" s="621" t="s">
        <v>230</v>
      </c>
      <c r="B183" s="624" t="s">
        <v>884</v>
      </c>
      <c r="C183" s="623">
        <v>228.1</v>
      </c>
      <c r="D183" s="623"/>
      <c r="E183" s="623"/>
      <c r="F183" s="623">
        <v>228.1</v>
      </c>
      <c r="G183" s="623">
        <v>11404.8</v>
      </c>
      <c r="H183" s="624" t="s">
        <v>883</v>
      </c>
      <c r="I183" s="623">
        <v>0.02</v>
      </c>
      <c r="J183" s="634"/>
      <c r="K183" s="630">
        <v>5.0000000000000001E-4</v>
      </c>
    </row>
    <row r="184" spans="1:11">
      <c r="A184" s="621" t="s">
        <v>231</v>
      </c>
      <c r="B184" s="624" t="s">
        <v>885</v>
      </c>
      <c r="C184" s="623">
        <v>56.94</v>
      </c>
      <c r="D184" s="623"/>
      <c r="E184" s="623"/>
      <c r="F184" s="623">
        <v>56.94</v>
      </c>
      <c r="G184" s="623">
        <v>11387</v>
      </c>
      <c r="H184" s="624" t="s">
        <v>883</v>
      </c>
      <c r="I184" s="623">
        <v>5.0000000000000001E-3</v>
      </c>
      <c r="J184" s="619"/>
      <c r="K184" s="633">
        <v>1E-4</v>
      </c>
    </row>
    <row r="185" spans="1:11">
      <c r="A185" s="621" t="s">
        <v>232</v>
      </c>
      <c r="B185" s="624" t="s">
        <v>886</v>
      </c>
      <c r="C185" s="623">
        <v>79.709999999999994</v>
      </c>
      <c r="D185" s="623"/>
      <c r="E185" s="623"/>
      <c r="F185" s="623">
        <v>79.709999999999994</v>
      </c>
      <c r="G185" s="623">
        <v>11387</v>
      </c>
      <c r="H185" s="624" t="s">
        <v>883</v>
      </c>
      <c r="I185" s="623">
        <v>7.0000000000000001E-3</v>
      </c>
      <c r="J185" s="619"/>
      <c r="K185" s="633">
        <v>2.0000000000000001E-4</v>
      </c>
    </row>
    <row r="186" spans="1:11">
      <c r="A186" s="621" t="s">
        <v>233</v>
      </c>
      <c r="B186" s="624" t="s">
        <v>887</v>
      </c>
      <c r="C186" s="623">
        <v>2846.75</v>
      </c>
      <c r="D186" s="623"/>
      <c r="E186" s="623"/>
      <c r="F186" s="623">
        <v>2846.75</v>
      </c>
      <c r="G186" s="623">
        <v>11387</v>
      </c>
      <c r="H186" s="624" t="s">
        <v>883</v>
      </c>
      <c r="I186" s="623">
        <v>0.25</v>
      </c>
      <c r="J186" s="619"/>
      <c r="K186" s="633">
        <v>6.0000000000000001E-3</v>
      </c>
    </row>
    <row r="187" spans="1:11">
      <c r="A187" s="621" t="s">
        <v>234</v>
      </c>
      <c r="B187" s="624" t="s">
        <v>888</v>
      </c>
      <c r="C187" s="623">
        <v>1708.05</v>
      </c>
      <c r="D187" s="623"/>
      <c r="E187" s="623"/>
      <c r="F187" s="623">
        <v>1708.05</v>
      </c>
      <c r="G187" s="623">
        <v>11387</v>
      </c>
      <c r="H187" s="624" t="s">
        <v>883</v>
      </c>
      <c r="I187" s="623">
        <v>0.15</v>
      </c>
      <c r="J187" s="619"/>
      <c r="K187" s="633">
        <v>3.5999999999999999E-3</v>
      </c>
    </row>
    <row r="188" spans="1:11">
      <c r="A188" s="621" t="s">
        <v>235</v>
      </c>
      <c r="B188" s="624" t="s">
        <v>889</v>
      </c>
      <c r="C188" s="623">
        <v>170.81</v>
      </c>
      <c r="D188" s="623"/>
      <c r="E188" s="623"/>
      <c r="F188" s="623">
        <v>170.81</v>
      </c>
      <c r="G188" s="623">
        <v>11387</v>
      </c>
      <c r="H188" s="624" t="s">
        <v>883</v>
      </c>
      <c r="I188" s="623">
        <v>1.4999999999999999E-2</v>
      </c>
      <c r="J188" s="619"/>
      <c r="K188" s="633">
        <v>4.0000000000000002E-4</v>
      </c>
    </row>
    <row r="189" spans="1:11">
      <c r="A189" s="621" t="s">
        <v>236</v>
      </c>
      <c r="B189" s="624" t="s">
        <v>890</v>
      </c>
      <c r="C189" s="623">
        <v>455.48</v>
      </c>
      <c r="D189" s="623"/>
      <c r="E189" s="623"/>
      <c r="F189" s="623">
        <v>455.48</v>
      </c>
      <c r="G189" s="623">
        <v>11387</v>
      </c>
      <c r="H189" s="624" t="s">
        <v>883</v>
      </c>
      <c r="I189" s="623">
        <v>0.04</v>
      </c>
      <c r="J189" s="619"/>
      <c r="K189" s="633">
        <v>1E-3</v>
      </c>
    </row>
    <row r="190" spans="1:11">
      <c r="A190" s="621" t="s">
        <v>237</v>
      </c>
      <c r="B190" s="624" t="s">
        <v>892</v>
      </c>
      <c r="C190" s="623">
        <v>797.09</v>
      </c>
      <c r="D190" s="623"/>
      <c r="E190" s="623"/>
      <c r="F190" s="623">
        <v>797.09</v>
      </c>
      <c r="G190" s="623">
        <v>11387</v>
      </c>
      <c r="H190" s="624" t="s">
        <v>883</v>
      </c>
      <c r="I190" s="623">
        <v>7.0000000000000007E-2</v>
      </c>
      <c r="J190" s="619"/>
      <c r="K190" s="633">
        <v>1.6999999999999999E-3</v>
      </c>
    </row>
    <row r="191" spans="1:11">
      <c r="A191" s="621" t="s">
        <v>1010</v>
      </c>
      <c r="B191" s="624" t="s">
        <v>894</v>
      </c>
      <c r="C191" s="623"/>
      <c r="D191" s="623">
        <v>0</v>
      </c>
      <c r="E191" s="623"/>
      <c r="F191" s="623">
        <v>0</v>
      </c>
      <c r="G191" s="623">
        <v>0</v>
      </c>
      <c r="H191" s="624" t="s">
        <v>895</v>
      </c>
      <c r="I191" s="623">
        <v>45</v>
      </c>
      <c r="J191" s="619"/>
      <c r="K191" s="633">
        <v>0</v>
      </c>
    </row>
    <row r="192" spans="1:11">
      <c r="A192" s="621" t="s">
        <v>1011</v>
      </c>
      <c r="B192" s="624" t="s">
        <v>897</v>
      </c>
      <c r="C192" s="623">
        <v>68.319999999999993</v>
      </c>
      <c r="D192" s="623"/>
      <c r="E192" s="623"/>
      <c r="F192" s="623">
        <v>68.319999999999993</v>
      </c>
      <c r="G192" s="623">
        <v>11387</v>
      </c>
      <c r="H192" s="624" t="s">
        <v>883</v>
      </c>
      <c r="I192" s="623">
        <v>6.0000000000000001E-3</v>
      </c>
      <c r="J192" s="619"/>
      <c r="K192" s="633">
        <v>1E-4</v>
      </c>
    </row>
    <row r="193" spans="1:11">
      <c r="A193" s="621" t="s">
        <v>1012</v>
      </c>
      <c r="B193" s="624" t="s">
        <v>899</v>
      </c>
      <c r="C193" s="623">
        <v>22.77</v>
      </c>
      <c r="D193" s="623"/>
      <c r="E193" s="623"/>
      <c r="F193" s="623">
        <v>22.77</v>
      </c>
      <c r="G193" s="623">
        <v>11387</v>
      </c>
      <c r="H193" s="624" t="s">
        <v>883</v>
      </c>
      <c r="I193" s="623">
        <v>2E-3</v>
      </c>
      <c r="J193" s="619"/>
      <c r="K193" s="633">
        <v>0</v>
      </c>
    </row>
    <row r="194" spans="1:11">
      <c r="A194" s="635"/>
      <c r="B194" s="636" t="s">
        <v>901</v>
      </c>
      <c r="C194" s="623">
        <v>175.75</v>
      </c>
      <c r="D194" s="637"/>
      <c r="E194" s="637"/>
      <c r="F194" s="623">
        <v>175.75</v>
      </c>
      <c r="G194" s="637">
        <v>5858.26</v>
      </c>
      <c r="H194" s="637"/>
      <c r="I194" s="637">
        <v>0.03</v>
      </c>
      <c r="J194" s="644"/>
      <c r="K194" s="645">
        <v>4.0000000000000002E-4</v>
      </c>
    </row>
    <row r="195" spans="1:11">
      <c r="A195" s="638">
        <v>2.11</v>
      </c>
      <c r="B195" s="639" t="s">
        <v>1013</v>
      </c>
      <c r="C195" s="637">
        <v>6609.76</v>
      </c>
      <c r="D195" s="639">
        <v>0</v>
      </c>
      <c r="E195" s="639">
        <v>0</v>
      </c>
      <c r="F195" s="637">
        <v>6609.76</v>
      </c>
      <c r="G195" s="639">
        <v>11387</v>
      </c>
      <c r="H195" s="640" t="s">
        <v>883</v>
      </c>
      <c r="I195" s="639">
        <v>0.57999999999999996</v>
      </c>
      <c r="J195" s="646"/>
      <c r="K195" s="647">
        <v>1.4E-2</v>
      </c>
    </row>
    <row r="196" spans="1:11">
      <c r="A196" s="638" t="s">
        <v>239</v>
      </c>
      <c r="B196" s="640" t="s">
        <v>884</v>
      </c>
      <c r="C196" s="639">
        <v>228.1</v>
      </c>
      <c r="D196" s="639"/>
      <c r="E196" s="639"/>
      <c r="F196" s="639">
        <v>228.1</v>
      </c>
      <c r="G196" s="639">
        <v>11404.8</v>
      </c>
      <c r="H196" s="640" t="s">
        <v>883</v>
      </c>
      <c r="I196" s="639">
        <v>0.02</v>
      </c>
      <c r="J196" s="646"/>
      <c r="K196" s="647">
        <v>5.0000000000000001E-4</v>
      </c>
    </row>
    <row r="197" spans="1:11">
      <c r="A197" s="641" t="s">
        <v>240</v>
      </c>
      <c r="B197" s="642" t="s">
        <v>885</v>
      </c>
      <c r="C197" s="643">
        <v>56.94</v>
      </c>
      <c r="D197" s="643"/>
      <c r="E197" s="643"/>
      <c r="F197" s="643">
        <v>56.94</v>
      </c>
      <c r="G197" s="643">
        <v>11387</v>
      </c>
      <c r="H197" s="642" t="s">
        <v>883</v>
      </c>
      <c r="I197" s="643">
        <v>5.0000000000000001E-3</v>
      </c>
      <c r="J197" s="628"/>
      <c r="K197" s="648">
        <v>1E-4</v>
      </c>
    </row>
    <row r="198" spans="1:11">
      <c r="A198" s="635" t="s">
        <v>241</v>
      </c>
      <c r="B198" s="624" t="s">
        <v>886</v>
      </c>
      <c r="C198" s="623">
        <v>79.709999999999994</v>
      </c>
      <c r="D198" s="623"/>
      <c r="E198" s="623"/>
      <c r="F198" s="623">
        <v>79.709999999999994</v>
      </c>
      <c r="G198" s="623">
        <v>11387</v>
      </c>
      <c r="H198" s="624" t="s">
        <v>883</v>
      </c>
      <c r="I198" s="623">
        <v>7.0000000000000001E-3</v>
      </c>
      <c r="J198" s="619"/>
      <c r="K198" s="633">
        <v>2.0000000000000001E-4</v>
      </c>
    </row>
    <row r="199" spans="1:11">
      <c r="A199" s="641" t="s">
        <v>242</v>
      </c>
      <c r="B199" s="624" t="s">
        <v>887</v>
      </c>
      <c r="C199" s="623">
        <v>2846.75</v>
      </c>
      <c r="D199" s="623"/>
      <c r="E199" s="623"/>
      <c r="F199" s="623">
        <v>2846.75</v>
      </c>
      <c r="G199" s="623">
        <v>11387</v>
      </c>
      <c r="H199" s="624" t="s">
        <v>883</v>
      </c>
      <c r="I199" s="623">
        <v>0.25</v>
      </c>
      <c r="J199" s="619"/>
      <c r="K199" s="633">
        <v>6.0000000000000001E-3</v>
      </c>
    </row>
    <row r="200" spans="1:11">
      <c r="A200" s="635" t="s">
        <v>243</v>
      </c>
      <c r="B200" s="624" t="s">
        <v>888</v>
      </c>
      <c r="C200" s="623">
        <v>1708.05</v>
      </c>
      <c r="D200" s="623"/>
      <c r="E200" s="623"/>
      <c r="F200" s="623">
        <v>1708.05</v>
      </c>
      <c r="G200" s="623">
        <v>11387</v>
      </c>
      <c r="H200" s="624" t="s">
        <v>883</v>
      </c>
      <c r="I200" s="623">
        <v>0.15</v>
      </c>
      <c r="J200" s="619"/>
      <c r="K200" s="633">
        <v>3.5999999999999999E-3</v>
      </c>
    </row>
    <row r="201" spans="1:11">
      <c r="A201" s="641" t="s">
        <v>244</v>
      </c>
      <c r="B201" s="624" t="s">
        <v>889</v>
      </c>
      <c r="C201" s="623">
        <v>170.81</v>
      </c>
      <c r="D201" s="623"/>
      <c r="E201" s="623"/>
      <c r="F201" s="623">
        <v>170.81</v>
      </c>
      <c r="G201" s="623">
        <v>11387</v>
      </c>
      <c r="H201" s="624" t="s">
        <v>883</v>
      </c>
      <c r="I201" s="623">
        <v>1.4999999999999999E-2</v>
      </c>
      <c r="J201" s="619"/>
      <c r="K201" s="633">
        <v>4.0000000000000002E-4</v>
      </c>
    </row>
    <row r="202" spans="1:11">
      <c r="A202" s="635" t="s">
        <v>245</v>
      </c>
      <c r="B202" s="624" t="s">
        <v>890</v>
      </c>
      <c r="C202" s="623">
        <v>455.48</v>
      </c>
      <c r="D202" s="623"/>
      <c r="E202" s="623"/>
      <c r="F202" s="623">
        <v>455.48</v>
      </c>
      <c r="G202" s="623">
        <v>11387</v>
      </c>
      <c r="H202" s="624" t="s">
        <v>883</v>
      </c>
      <c r="I202" s="623">
        <v>0.04</v>
      </c>
      <c r="J202" s="619"/>
      <c r="K202" s="633">
        <v>1E-3</v>
      </c>
    </row>
    <row r="203" spans="1:11">
      <c r="A203" s="641" t="s">
        <v>246</v>
      </c>
      <c r="B203" s="624" t="s">
        <v>892</v>
      </c>
      <c r="C203" s="623">
        <v>797.09</v>
      </c>
      <c r="D203" s="623"/>
      <c r="E203" s="623"/>
      <c r="F203" s="623">
        <v>797.09</v>
      </c>
      <c r="G203" s="623">
        <v>11387</v>
      </c>
      <c r="H203" s="624" t="s">
        <v>883</v>
      </c>
      <c r="I203" s="623">
        <v>7.0000000000000007E-2</v>
      </c>
      <c r="J203" s="619"/>
      <c r="K203" s="633">
        <v>1.6999999999999999E-3</v>
      </c>
    </row>
    <row r="204" spans="1:11">
      <c r="A204" s="635" t="s">
        <v>1014</v>
      </c>
      <c r="B204" s="624" t="s">
        <v>894</v>
      </c>
      <c r="C204" s="623"/>
      <c r="D204" s="623">
        <v>0</v>
      </c>
      <c r="E204" s="623"/>
      <c r="F204" s="623">
        <v>0</v>
      </c>
      <c r="G204" s="623">
        <v>0</v>
      </c>
      <c r="H204" s="624" t="s">
        <v>895</v>
      </c>
      <c r="I204" s="623">
        <v>45</v>
      </c>
      <c r="J204" s="619"/>
      <c r="K204" s="633">
        <v>0</v>
      </c>
    </row>
    <row r="205" spans="1:11">
      <c r="A205" s="641" t="s">
        <v>1015</v>
      </c>
      <c r="B205" s="624" t="s">
        <v>897</v>
      </c>
      <c r="C205" s="623">
        <v>68.319999999999993</v>
      </c>
      <c r="D205" s="623"/>
      <c r="E205" s="623"/>
      <c r="F205" s="623">
        <v>68.319999999999993</v>
      </c>
      <c r="G205" s="623">
        <v>11387</v>
      </c>
      <c r="H205" s="624" t="s">
        <v>883</v>
      </c>
      <c r="I205" s="623">
        <v>6.0000000000000001E-3</v>
      </c>
      <c r="J205" s="619"/>
      <c r="K205" s="633">
        <v>1E-4</v>
      </c>
    </row>
    <row r="206" spans="1:11">
      <c r="A206" s="635" t="s">
        <v>1016</v>
      </c>
      <c r="B206" s="624" t="s">
        <v>899</v>
      </c>
      <c r="C206" s="623">
        <v>22.77</v>
      </c>
      <c r="D206" s="623"/>
      <c r="E206" s="623"/>
      <c r="F206" s="623">
        <v>22.77</v>
      </c>
      <c r="G206" s="623">
        <v>11387</v>
      </c>
      <c r="H206" s="624" t="s">
        <v>883</v>
      </c>
      <c r="I206" s="623">
        <v>2E-3</v>
      </c>
      <c r="J206" s="619"/>
      <c r="K206" s="633">
        <v>0</v>
      </c>
    </row>
    <row r="207" spans="1:11">
      <c r="A207" s="649"/>
      <c r="B207" s="624" t="s">
        <v>901</v>
      </c>
      <c r="C207" s="623">
        <v>175.75</v>
      </c>
      <c r="D207" s="623"/>
      <c r="E207" s="623"/>
      <c r="F207" s="623">
        <v>175.75</v>
      </c>
      <c r="G207" s="623">
        <v>5858.26</v>
      </c>
      <c r="H207" s="623"/>
      <c r="I207" s="623">
        <v>0.03</v>
      </c>
      <c r="J207" s="634"/>
      <c r="K207" s="630">
        <v>4.0000000000000002E-4</v>
      </c>
    </row>
    <row r="208" spans="1:11">
      <c r="A208" s="620">
        <v>3</v>
      </c>
      <c r="B208" s="616" t="s">
        <v>342</v>
      </c>
      <c r="C208" s="619">
        <v>98900.47</v>
      </c>
      <c r="D208" s="619">
        <v>810</v>
      </c>
      <c r="E208" s="619">
        <v>0</v>
      </c>
      <c r="F208" s="619">
        <v>99710.47</v>
      </c>
      <c r="G208" s="619">
        <v>87525</v>
      </c>
      <c r="H208" s="619"/>
      <c r="I208" s="619"/>
      <c r="J208" s="631"/>
      <c r="K208" s="632">
        <v>0.21060000000000001</v>
      </c>
    </row>
    <row r="209" spans="1:11">
      <c r="A209" s="621">
        <v>3.1</v>
      </c>
      <c r="B209" s="623" t="s">
        <v>1017</v>
      </c>
      <c r="C209" s="623">
        <v>60729.52</v>
      </c>
      <c r="D209" s="623">
        <v>360</v>
      </c>
      <c r="E209" s="623">
        <v>0</v>
      </c>
      <c r="F209" s="623">
        <v>61089.52</v>
      </c>
      <c r="G209" s="623"/>
      <c r="H209" s="624" t="s">
        <v>883</v>
      </c>
      <c r="I209" s="623"/>
      <c r="J209" s="634"/>
      <c r="K209" s="630">
        <v>0.129</v>
      </c>
    </row>
    <row r="210" spans="1:11">
      <c r="A210" s="621" t="s">
        <v>356</v>
      </c>
      <c r="B210" s="624" t="s">
        <v>1018</v>
      </c>
      <c r="C210" s="623">
        <v>39849.519999999997</v>
      </c>
      <c r="D210" s="623">
        <v>360</v>
      </c>
      <c r="E210" s="623">
        <v>0</v>
      </c>
      <c r="F210" s="623">
        <v>40209.519999999997</v>
      </c>
      <c r="G210" s="623">
        <v>57525</v>
      </c>
      <c r="H210" s="624" t="s">
        <v>883</v>
      </c>
      <c r="I210" s="623">
        <v>0.69899999999999995</v>
      </c>
      <c r="J210" s="634"/>
      <c r="K210" s="630">
        <v>8.4900000000000003E-2</v>
      </c>
    </row>
    <row r="211" spans="1:11">
      <c r="A211" s="621" t="s">
        <v>1019</v>
      </c>
      <c r="B211" s="624" t="s">
        <v>884</v>
      </c>
      <c r="C211" s="623">
        <v>187</v>
      </c>
      <c r="D211" s="623"/>
      <c r="E211" s="623"/>
      <c r="F211" s="623">
        <v>187</v>
      </c>
      <c r="G211" s="623">
        <v>9350</v>
      </c>
      <c r="H211" s="624" t="s">
        <v>883</v>
      </c>
      <c r="I211" s="623">
        <v>0.02</v>
      </c>
      <c r="J211" s="634"/>
      <c r="K211" s="630">
        <v>4.0000000000000002E-4</v>
      </c>
    </row>
    <row r="212" spans="1:11">
      <c r="A212" s="621" t="s">
        <v>1020</v>
      </c>
      <c r="B212" s="624" t="s">
        <v>885</v>
      </c>
      <c r="C212" s="623">
        <v>287.63</v>
      </c>
      <c r="D212" s="623"/>
      <c r="E212" s="623"/>
      <c r="F212" s="623">
        <v>287.63</v>
      </c>
      <c r="G212" s="623">
        <v>57525</v>
      </c>
      <c r="H212" s="624" t="s">
        <v>883</v>
      </c>
      <c r="I212" s="623">
        <v>5.0000000000000001E-3</v>
      </c>
      <c r="J212" s="619"/>
      <c r="K212" s="633">
        <v>5.9999999999999995E-4</v>
      </c>
    </row>
    <row r="213" spans="1:11">
      <c r="A213" s="621" t="s">
        <v>1021</v>
      </c>
      <c r="B213" s="624" t="s">
        <v>886</v>
      </c>
      <c r="C213" s="623">
        <v>8053.5</v>
      </c>
      <c r="D213" s="623"/>
      <c r="E213" s="623"/>
      <c r="F213" s="623">
        <v>8053.5</v>
      </c>
      <c r="G213" s="623">
        <v>57525</v>
      </c>
      <c r="H213" s="624" t="s">
        <v>883</v>
      </c>
      <c r="I213" s="623">
        <v>0.14000000000000001</v>
      </c>
      <c r="J213" s="619"/>
      <c r="K213" s="633">
        <v>1.7000000000000001E-2</v>
      </c>
    </row>
    <row r="214" spans="1:11">
      <c r="A214" s="621" t="s">
        <v>1022</v>
      </c>
      <c r="B214" s="624" t="s">
        <v>887</v>
      </c>
      <c r="C214" s="623">
        <v>14381.25</v>
      </c>
      <c r="D214" s="623"/>
      <c r="E214" s="623"/>
      <c r="F214" s="623">
        <v>14381.25</v>
      </c>
      <c r="G214" s="623">
        <v>57525</v>
      </c>
      <c r="H214" s="624" t="s">
        <v>883</v>
      </c>
      <c r="I214" s="623">
        <v>0.25</v>
      </c>
      <c r="J214" s="619"/>
      <c r="K214" s="633">
        <v>3.04E-2</v>
      </c>
    </row>
    <row r="215" spans="1:11">
      <c r="A215" s="621" t="s">
        <v>1023</v>
      </c>
      <c r="B215" s="624" t="s">
        <v>888</v>
      </c>
      <c r="C215" s="623">
        <v>8628.75</v>
      </c>
      <c r="D215" s="623"/>
      <c r="E215" s="623"/>
      <c r="F215" s="623">
        <v>8628.75</v>
      </c>
      <c r="G215" s="623">
        <v>57525</v>
      </c>
      <c r="H215" s="624" t="s">
        <v>883</v>
      </c>
      <c r="I215" s="623">
        <v>0.15</v>
      </c>
      <c r="J215" s="619"/>
      <c r="K215" s="633">
        <v>1.8200000000000001E-2</v>
      </c>
    </row>
    <row r="216" spans="1:11">
      <c r="A216" s="621" t="s">
        <v>1024</v>
      </c>
      <c r="B216" s="624" t="s">
        <v>889</v>
      </c>
      <c r="C216" s="623">
        <v>747.83</v>
      </c>
      <c r="D216" s="623"/>
      <c r="E216" s="623"/>
      <c r="F216" s="623">
        <v>747.83</v>
      </c>
      <c r="G216" s="623">
        <v>57525</v>
      </c>
      <c r="H216" s="624" t="s">
        <v>883</v>
      </c>
      <c r="I216" s="623">
        <v>1.2999999999999999E-2</v>
      </c>
      <c r="J216" s="619"/>
      <c r="K216" s="633">
        <v>1.6000000000000001E-3</v>
      </c>
    </row>
    <row r="217" spans="1:11">
      <c r="A217" s="621" t="s">
        <v>1025</v>
      </c>
      <c r="B217" s="624" t="s">
        <v>890</v>
      </c>
      <c r="C217" s="623">
        <v>2301</v>
      </c>
      <c r="D217" s="623"/>
      <c r="E217" s="623"/>
      <c r="F217" s="623">
        <v>2301</v>
      </c>
      <c r="G217" s="623">
        <v>57525</v>
      </c>
      <c r="H217" s="624" t="s">
        <v>883</v>
      </c>
      <c r="I217" s="623">
        <v>0.04</v>
      </c>
      <c r="J217" s="619"/>
      <c r="K217" s="633">
        <v>4.8999999999999998E-3</v>
      </c>
    </row>
    <row r="218" spans="1:11">
      <c r="A218" s="621" t="s">
        <v>1026</v>
      </c>
      <c r="B218" s="624" t="s">
        <v>892</v>
      </c>
      <c r="C218" s="623">
        <v>3451.5</v>
      </c>
      <c r="D218" s="623"/>
      <c r="E218" s="623"/>
      <c r="F218" s="623">
        <v>3451.5</v>
      </c>
      <c r="G218" s="623">
        <v>57525</v>
      </c>
      <c r="H218" s="624" t="s">
        <v>883</v>
      </c>
      <c r="I218" s="623">
        <v>0.06</v>
      </c>
      <c r="J218" s="619"/>
      <c r="K218" s="633">
        <v>7.3000000000000001E-3</v>
      </c>
    </row>
    <row r="219" spans="1:11">
      <c r="A219" s="621" t="s">
        <v>1027</v>
      </c>
      <c r="B219" s="624" t="s">
        <v>894</v>
      </c>
      <c r="C219" s="623"/>
      <c r="D219" s="623">
        <v>360</v>
      </c>
      <c r="E219" s="623"/>
      <c r="F219" s="623">
        <v>360</v>
      </c>
      <c r="G219" s="623">
        <v>8</v>
      </c>
      <c r="H219" s="624" t="s">
        <v>895</v>
      </c>
      <c r="I219" s="623">
        <v>45</v>
      </c>
      <c r="J219" s="619"/>
      <c r="K219" s="633">
        <v>8.0000000000000004E-4</v>
      </c>
    </row>
    <row r="220" spans="1:11">
      <c r="A220" s="621" t="s">
        <v>1028</v>
      </c>
      <c r="B220" s="624" t="s">
        <v>897</v>
      </c>
      <c r="C220" s="623">
        <v>345.15</v>
      </c>
      <c r="D220" s="623"/>
      <c r="E220" s="623"/>
      <c r="F220" s="623">
        <v>345.15</v>
      </c>
      <c r="G220" s="623">
        <v>57525</v>
      </c>
      <c r="H220" s="624" t="s">
        <v>883</v>
      </c>
      <c r="I220" s="623">
        <v>6.0000000000000001E-3</v>
      </c>
      <c r="J220" s="619"/>
      <c r="K220" s="633">
        <v>6.9999999999999999E-4</v>
      </c>
    </row>
    <row r="221" spans="1:11">
      <c r="A221" s="621" t="s">
        <v>1029</v>
      </c>
      <c r="B221" s="624" t="s">
        <v>899</v>
      </c>
      <c r="C221" s="623">
        <v>115.05</v>
      </c>
      <c r="D221" s="623"/>
      <c r="E221" s="623"/>
      <c r="F221" s="623">
        <v>115.05</v>
      </c>
      <c r="G221" s="623">
        <v>57525</v>
      </c>
      <c r="H221" s="624" t="s">
        <v>883</v>
      </c>
      <c r="I221" s="623">
        <v>2E-3</v>
      </c>
      <c r="J221" s="619"/>
      <c r="K221" s="633">
        <v>2.0000000000000001E-4</v>
      </c>
    </row>
    <row r="222" spans="1:11">
      <c r="A222" s="621"/>
      <c r="B222" s="624" t="s">
        <v>901</v>
      </c>
      <c r="C222" s="623">
        <v>1350.87</v>
      </c>
      <c r="D222" s="623"/>
      <c r="E222" s="623"/>
      <c r="F222" s="623">
        <v>1350.87</v>
      </c>
      <c r="G222" s="623">
        <v>45028.94</v>
      </c>
      <c r="H222" s="623"/>
      <c r="I222" s="623">
        <v>0.03</v>
      </c>
      <c r="J222" s="634"/>
      <c r="K222" s="630">
        <v>2.8999999999999998E-3</v>
      </c>
    </row>
    <row r="223" spans="1:11">
      <c r="A223" s="621" t="s">
        <v>357</v>
      </c>
      <c r="B223" s="624" t="s">
        <v>1030</v>
      </c>
      <c r="C223" s="623">
        <v>20880</v>
      </c>
      <c r="D223" s="623">
        <v>0</v>
      </c>
      <c r="E223" s="623">
        <v>0</v>
      </c>
      <c r="F223" s="623">
        <v>20880</v>
      </c>
      <c r="G223" s="623">
        <v>30000</v>
      </c>
      <c r="H223" s="624" t="s">
        <v>883</v>
      </c>
      <c r="I223" s="623">
        <v>0.69599999999999995</v>
      </c>
      <c r="J223" s="634"/>
      <c r="K223" s="630">
        <v>4.41E-2</v>
      </c>
    </row>
    <row r="224" spans="1:11">
      <c r="A224" s="621" t="s">
        <v>1031</v>
      </c>
      <c r="B224" s="624" t="s">
        <v>885</v>
      </c>
      <c r="C224" s="623">
        <v>150</v>
      </c>
      <c r="D224" s="623"/>
      <c r="E224" s="623"/>
      <c r="F224" s="623">
        <v>150</v>
      </c>
      <c r="G224" s="623">
        <v>30000</v>
      </c>
      <c r="H224" s="624" t="s">
        <v>883</v>
      </c>
      <c r="I224" s="623">
        <v>5.0000000000000001E-3</v>
      </c>
      <c r="J224" s="619"/>
      <c r="K224" s="633">
        <v>2.9999999999999997E-4</v>
      </c>
    </row>
    <row r="225" spans="1:11">
      <c r="A225" s="621" t="s">
        <v>1032</v>
      </c>
      <c r="B225" s="624" t="s">
        <v>886</v>
      </c>
      <c r="C225" s="623">
        <v>4200</v>
      </c>
      <c r="D225" s="623"/>
      <c r="E225" s="623"/>
      <c r="F225" s="623">
        <v>4200</v>
      </c>
      <c r="G225" s="623">
        <v>30000</v>
      </c>
      <c r="H225" s="624" t="s">
        <v>883</v>
      </c>
      <c r="I225" s="623">
        <v>0.14000000000000001</v>
      </c>
      <c r="J225" s="619"/>
      <c r="K225" s="633">
        <v>8.8999999999999999E-3</v>
      </c>
    </row>
    <row r="226" spans="1:11">
      <c r="A226" s="621" t="s">
        <v>1033</v>
      </c>
      <c r="B226" s="624" t="s">
        <v>887</v>
      </c>
      <c r="C226" s="623">
        <v>7500</v>
      </c>
      <c r="D226" s="623"/>
      <c r="E226" s="623"/>
      <c r="F226" s="623">
        <v>7500</v>
      </c>
      <c r="G226" s="623">
        <v>30000</v>
      </c>
      <c r="H226" s="624" t="s">
        <v>883</v>
      </c>
      <c r="I226" s="623">
        <v>0.25</v>
      </c>
      <c r="J226" s="619"/>
      <c r="K226" s="633">
        <v>1.5800000000000002E-2</v>
      </c>
    </row>
    <row r="227" spans="1:11">
      <c r="A227" s="621" t="s">
        <v>1034</v>
      </c>
      <c r="B227" s="624" t="s">
        <v>888</v>
      </c>
      <c r="C227" s="623">
        <v>4500</v>
      </c>
      <c r="D227" s="623"/>
      <c r="E227" s="623"/>
      <c r="F227" s="623">
        <v>4500</v>
      </c>
      <c r="G227" s="623">
        <v>30000</v>
      </c>
      <c r="H227" s="624" t="s">
        <v>883</v>
      </c>
      <c r="I227" s="623">
        <v>0.15</v>
      </c>
      <c r="J227" s="619"/>
      <c r="K227" s="633">
        <v>9.4999999999999998E-3</v>
      </c>
    </row>
    <row r="228" spans="1:11">
      <c r="A228" s="621" t="s">
        <v>1035</v>
      </c>
      <c r="B228" s="624" t="s">
        <v>889</v>
      </c>
      <c r="C228" s="623">
        <v>390</v>
      </c>
      <c r="D228" s="623"/>
      <c r="E228" s="623"/>
      <c r="F228" s="623">
        <v>390</v>
      </c>
      <c r="G228" s="623">
        <v>30000</v>
      </c>
      <c r="H228" s="624" t="s">
        <v>883</v>
      </c>
      <c r="I228" s="623">
        <v>1.2999999999999999E-2</v>
      </c>
      <c r="J228" s="619"/>
      <c r="K228" s="633">
        <v>8.0000000000000004E-4</v>
      </c>
    </row>
    <row r="229" spans="1:11">
      <c r="A229" s="621" t="s">
        <v>1036</v>
      </c>
      <c r="B229" s="624" t="s">
        <v>890</v>
      </c>
      <c r="C229" s="623">
        <v>1500</v>
      </c>
      <c r="D229" s="623"/>
      <c r="E229" s="623"/>
      <c r="F229" s="623">
        <v>1500</v>
      </c>
      <c r="G229" s="623">
        <v>30000</v>
      </c>
      <c r="H229" s="624" t="s">
        <v>883</v>
      </c>
      <c r="I229" s="623">
        <v>0.05</v>
      </c>
      <c r="J229" s="619"/>
      <c r="K229" s="633">
        <v>3.2000000000000002E-3</v>
      </c>
    </row>
    <row r="230" spans="1:11">
      <c r="A230" s="621" t="s">
        <v>1037</v>
      </c>
      <c r="B230" s="624" t="s">
        <v>892</v>
      </c>
      <c r="C230" s="623">
        <v>1800</v>
      </c>
      <c r="D230" s="623"/>
      <c r="E230" s="623"/>
      <c r="F230" s="623">
        <v>1800</v>
      </c>
      <c r="G230" s="623">
        <v>30000</v>
      </c>
      <c r="H230" s="624" t="s">
        <v>883</v>
      </c>
      <c r="I230" s="623">
        <v>0.06</v>
      </c>
      <c r="J230" s="619"/>
      <c r="K230" s="633">
        <v>3.8E-3</v>
      </c>
    </row>
    <row r="231" spans="1:11">
      <c r="A231" s="621" t="s">
        <v>1038</v>
      </c>
      <c r="B231" s="624" t="s">
        <v>894</v>
      </c>
      <c r="C231" s="623"/>
      <c r="D231" s="623">
        <v>0</v>
      </c>
      <c r="E231" s="623"/>
      <c r="F231" s="623">
        <v>0</v>
      </c>
      <c r="G231" s="623">
        <v>0</v>
      </c>
      <c r="H231" s="624" t="s">
        <v>895</v>
      </c>
      <c r="I231" s="623">
        <v>45</v>
      </c>
      <c r="J231" s="619"/>
      <c r="K231" s="633">
        <v>0</v>
      </c>
    </row>
    <row r="232" spans="1:11">
      <c r="A232" s="621" t="s">
        <v>1039</v>
      </c>
      <c r="B232" s="624" t="s">
        <v>1040</v>
      </c>
      <c r="C232" s="623">
        <v>600</v>
      </c>
      <c r="D232" s="623"/>
      <c r="E232" s="623"/>
      <c r="F232" s="623"/>
      <c r="G232" s="623">
        <v>15000</v>
      </c>
      <c r="H232" s="624" t="s">
        <v>883</v>
      </c>
      <c r="I232" s="623">
        <v>0.04</v>
      </c>
      <c r="J232" s="619"/>
      <c r="K232" s="633">
        <v>0</v>
      </c>
    </row>
    <row r="233" spans="1:11">
      <c r="A233" s="621" t="s">
        <v>1041</v>
      </c>
      <c r="B233" s="624" t="s">
        <v>897</v>
      </c>
      <c r="C233" s="623">
        <v>180</v>
      </c>
      <c r="D233" s="623"/>
      <c r="E233" s="623"/>
      <c r="F233" s="623">
        <v>180</v>
      </c>
      <c r="G233" s="623">
        <v>30000</v>
      </c>
      <c r="H233" s="624" t="s">
        <v>883</v>
      </c>
      <c r="I233" s="623">
        <v>6.0000000000000001E-3</v>
      </c>
      <c r="J233" s="619"/>
      <c r="K233" s="633">
        <v>4.0000000000000002E-4</v>
      </c>
    </row>
    <row r="234" spans="1:11">
      <c r="A234" s="621" t="s">
        <v>1042</v>
      </c>
      <c r="B234" s="624" t="s">
        <v>899</v>
      </c>
      <c r="C234" s="623">
        <v>60</v>
      </c>
      <c r="D234" s="623"/>
      <c r="E234" s="623"/>
      <c r="F234" s="623">
        <v>60</v>
      </c>
      <c r="G234" s="623">
        <v>30000</v>
      </c>
      <c r="H234" s="624" t="s">
        <v>883</v>
      </c>
      <c r="I234" s="623">
        <v>2E-3</v>
      </c>
      <c r="J234" s="619"/>
      <c r="K234" s="633">
        <v>1E-4</v>
      </c>
    </row>
    <row r="235" spans="1:11">
      <c r="A235" s="621">
        <v>3.2</v>
      </c>
      <c r="B235" s="623" t="s">
        <v>1043</v>
      </c>
      <c r="C235" s="623">
        <v>38170.949999999997</v>
      </c>
      <c r="D235" s="623">
        <v>450</v>
      </c>
      <c r="E235" s="623">
        <v>0</v>
      </c>
      <c r="F235" s="623">
        <v>38620.949999999997</v>
      </c>
      <c r="G235" s="623">
        <v>55000</v>
      </c>
      <c r="H235" s="624" t="s">
        <v>883</v>
      </c>
      <c r="I235" s="623"/>
      <c r="J235" s="634"/>
      <c r="K235" s="630">
        <v>8.1600000000000006E-2</v>
      </c>
    </row>
    <row r="236" spans="1:11">
      <c r="A236" s="621" t="s">
        <v>345</v>
      </c>
      <c r="B236" s="624" t="s">
        <v>1018</v>
      </c>
      <c r="C236" s="623">
        <v>24250.95</v>
      </c>
      <c r="D236" s="623">
        <v>450</v>
      </c>
      <c r="E236" s="623">
        <v>0</v>
      </c>
      <c r="F236" s="623">
        <v>24700.95</v>
      </c>
      <c r="G236" s="623">
        <v>35000</v>
      </c>
      <c r="H236" s="624" t="s">
        <v>883</v>
      </c>
      <c r="I236" s="623">
        <v>0.70599999999999996</v>
      </c>
      <c r="J236" s="634"/>
      <c r="K236" s="630">
        <v>5.2200000000000003E-2</v>
      </c>
    </row>
    <row r="237" spans="1:11">
      <c r="A237" s="621" t="s">
        <v>1044</v>
      </c>
      <c r="B237" s="624" t="s">
        <v>884</v>
      </c>
      <c r="C237" s="623">
        <v>92.07</v>
      </c>
      <c r="D237" s="623"/>
      <c r="E237" s="623"/>
      <c r="F237" s="623">
        <v>92.07</v>
      </c>
      <c r="G237" s="623">
        <v>4603.74</v>
      </c>
      <c r="H237" s="624" t="s">
        <v>883</v>
      </c>
      <c r="I237" s="623">
        <v>0.02</v>
      </c>
      <c r="J237" s="634"/>
      <c r="K237" s="630">
        <v>2.0000000000000001E-4</v>
      </c>
    </row>
    <row r="238" spans="1:11">
      <c r="A238" s="621" t="s">
        <v>1045</v>
      </c>
      <c r="B238" s="624" t="s">
        <v>885</v>
      </c>
      <c r="C238" s="623">
        <v>175</v>
      </c>
      <c r="D238" s="623"/>
      <c r="E238" s="623"/>
      <c r="F238" s="623">
        <v>175</v>
      </c>
      <c r="G238" s="623">
        <v>35000</v>
      </c>
      <c r="H238" s="624" t="s">
        <v>883</v>
      </c>
      <c r="I238" s="623">
        <v>5.0000000000000001E-3</v>
      </c>
      <c r="J238" s="619"/>
      <c r="K238" s="633">
        <v>4.0000000000000002E-4</v>
      </c>
    </row>
    <row r="239" spans="1:11">
      <c r="A239" s="621" t="s">
        <v>1046</v>
      </c>
      <c r="B239" s="624" t="s">
        <v>886</v>
      </c>
      <c r="C239" s="623">
        <v>4900</v>
      </c>
      <c r="D239" s="623"/>
      <c r="E239" s="623"/>
      <c r="F239" s="623">
        <v>4900</v>
      </c>
      <c r="G239" s="623">
        <v>35000</v>
      </c>
      <c r="H239" s="624" t="s">
        <v>883</v>
      </c>
      <c r="I239" s="623">
        <v>0.14000000000000001</v>
      </c>
      <c r="J239" s="619"/>
      <c r="K239" s="633">
        <v>1.03E-2</v>
      </c>
    </row>
    <row r="240" spans="1:11">
      <c r="A240" s="621" t="s">
        <v>1047</v>
      </c>
      <c r="B240" s="624" t="s">
        <v>887</v>
      </c>
      <c r="C240" s="623">
        <v>8750</v>
      </c>
      <c r="D240" s="623"/>
      <c r="E240" s="623"/>
      <c r="F240" s="623">
        <v>8750</v>
      </c>
      <c r="G240" s="623">
        <v>35000</v>
      </c>
      <c r="H240" s="624" t="s">
        <v>883</v>
      </c>
      <c r="I240" s="623">
        <v>0.25</v>
      </c>
      <c r="J240" s="619"/>
      <c r="K240" s="633">
        <v>1.8499999999999999E-2</v>
      </c>
    </row>
    <row r="241" spans="1:11">
      <c r="A241" s="621" t="s">
        <v>1048</v>
      </c>
      <c r="B241" s="624" t="s">
        <v>888</v>
      </c>
      <c r="C241" s="623">
        <v>5250</v>
      </c>
      <c r="D241" s="623"/>
      <c r="E241" s="623"/>
      <c r="F241" s="623">
        <v>5250</v>
      </c>
      <c r="G241" s="623">
        <v>35000</v>
      </c>
      <c r="H241" s="624" t="s">
        <v>883</v>
      </c>
      <c r="I241" s="623">
        <v>0.15</v>
      </c>
      <c r="J241" s="619"/>
      <c r="K241" s="633">
        <v>1.11E-2</v>
      </c>
    </row>
    <row r="242" spans="1:11">
      <c r="A242" s="621" t="s">
        <v>1049</v>
      </c>
      <c r="B242" s="624" t="s">
        <v>889</v>
      </c>
      <c r="C242" s="623">
        <v>455</v>
      </c>
      <c r="D242" s="623"/>
      <c r="E242" s="623"/>
      <c r="F242" s="623">
        <v>455</v>
      </c>
      <c r="G242" s="623">
        <v>35000</v>
      </c>
      <c r="H242" s="624" t="s">
        <v>883</v>
      </c>
      <c r="I242" s="623">
        <v>1.2999999999999999E-2</v>
      </c>
      <c r="J242" s="619"/>
      <c r="K242" s="633">
        <v>1E-3</v>
      </c>
    </row>
    <row r="243" spans="1:11">
      <c r="A243" s="621" t="s">
        <v>1050</v>
      </c>
      <c r="B243" s="624" t="s">
        <v>890</v>
      </c>
      <c r="C243" s="623">
        <v>1400</v>
      </c>
      <c r="D243" s="623"/>
      <c r="E243" s="623"/>
      <c r="F243" s="623">
        <v>1400</v>
      </c>
      <c r="G243" s="623">
        <v>35000</v>
      </c>
      <c r="H243" s="624" t="s">
        <v>883</v>
      </c>
      <c r="I243" s="623">
        <v>0.04</v>
      </c>
      <c r="J243" s="619"/>
      <c r="K243" s="633">
        <v>3.0000000000000001E-3</v>
      </c>
    </row>
    <row r="244" spans="1:11">
      <c r="A244" s="621" t="s">
        <v>1051</v>
      </c>
      <c r="B244" s="624" t="s">
        <v>892</v>
      </c>
      <c r="C244" s="623">
        <v>2100</v>
      </c>
      <c r="D244" s="623"/>
      <c r="E244" s="623"/>
      <c r="F244" s="623">
        <v>2100</v>
      </c>
      <c r="G244" s="623">
        <v>35000</v>
      </c>
      <c r="H244" s="624" t="s">
        <v>883</v>
      </c>
      <c r="I244" s="623">
        <v>0.06</v>
      </c>
      <c r="J244" s="619"/>
      <c r="K244" s="633">
        <v>4.4000000000000003E-3</v>
      </c>
    </row>
    <row r="245" spans="1:11">
      <c r="A245" s="621" t="s">
        <v>1052</v>
      </c>
      <c r="B245" s="624" t="s">
        <v>894</v>
      </c>
      <c r="C245" s="623"/>
      <c r="D245" s="623">
        <v>450</v>
      </c>
      <c r="E245" s="623"/>
      <c r="F245" s="623">
        <v>450</v>
      </c>
      <c r="G245" s="623">
        <v>10</v>
      </c>
      <c r="H245" s="624" t="s">
        <v>895</v>
      </c>
      <c r="I245" s="623">
        <v>45</v>
      </c>
      <c r="J245" s="619"/>
      <c r="K245" s="633">
        <v>1E-3</v>
      </c>
    </row>
    <row r="246" spans="1:11">
      <c r="A246" s="621" t="s">
        <v>1053</v>
      </c>
      <c r="B246" s="624" t="s">
        <v>897</v>
      </c>
      <c r="C246" s="623">
        <v>210</v>
      </c>
      <c r="D246" s="623"/>
      <c r="E246" s="623"/>
      <c r="F246" s="623">
        <v>210</v>
      </c>
      <c r="G246" s="623">
        <v>35000</v>
      </c>
      <c r="H246" s="624" t="s">
        <v>883</v>
      </c>
      <c r="I246" s="623">
        <v>6.0000000000000001E-3</v>
      </c>
      <c r="J246" s="619"/>
      <c r="K246" s="633">
        <v>4.0000000000000002E-4</v>
      </c>
    </row>
    <row r="247" spans="1:11">
      <c r="A247" s="621" t="s">
        <v>1054</v>
      </c>
      <c r="B247" s="624" t="s">
        <v>899</v>
      </c>
      <c r="C247" s="623">
        <v>70</v>
      </c>
      <c r="D247" s="623"/>
      <c r="E247" s="623"/>
      <c r="F247" s="623">
        <v>70</v>
      </c>
      <c r="G247" s="623">
        <v>35000</v>
      </c>
      <c r="H247" s="624" t="s">
        <v>883</v>
      </c>
      <c r="I247" s="623">
        <v>2E-3</v>
      </c>
      <c r="J247" s="619"/>
      <c r="K247" s="633">
        <v>1E-4</v>
      </c>
    </row>
    <row r="248" spans="1:11">
      <c r="A248" s="621" t="s">
        <v>1055</v>
      </c>
      <c r="B248" s="624" t="s">
        <v>901</v>
      </c>
      <c r="C248" s="623">
        <v>848.87</v>
      </c>
      <c r="D248" s="623"/>
      <c r="E248" s="623"/>
      <c r="F248" s="623">
        <v>848.87</v>
      </c>
      <c r="G248" s="623">
        <v>28295.82</v>
      </c>
      <c r="H248" s="623"/>
      <c r="I248" s="623">
        <v>0.03</v>
      </c>
      <c r="J248" s="634"/>
      <c r="K248" s="630">
        <v>1.8E-3</v>
      </c>
    </row>
    <row r="249" spans="1:11">
      <c r="A249" s="621" t="s">
        <v>346</v>
      </c>
      <c r="B249" s="624" t="s">
        <v>1030</v>
      </c>
      <c r="C249" s="623">
        <v>13920</v>
      </c>
      <c r="D249" s="623">
        <v>0</v>
      </c>
      <c r="E249" s="623">
        <v>0</v>
      </c>
      <c r="F249" s="623">
        <v>13920</v>
      </c>
      <c r="G249" s="623">
        <v>20000</v>
      </c>
      <c r="H249" s="624" t="s">
        <v>883</v>
      </c>
      <c r="I249" s="623">
        <v>0.69599999999999995</v>
      </c>
      <c r="J249" s="634"/>
      <c r="K249" s="630">
        <v>2.9399999999999999E-2</v>
      </c>
    </row>
    <row r="250" spans="1:11">
      <c r="A250" s="621" t="s">
        <v>1056</v>
      </c>
      <c r="B250" s="624" t="s">
        <v>885</v>
      </c>
      <c r="C250" s="623">
        <v>100</v>
      </c>
      <c r="D250" s="623"/>
      <c r="E250" s="623"/>
      <c r="F250" s="623">
        <v>100</v>
      </c>
      <c r="G250" s="623">
        <v>20000</v>
      </c>
      <c r="H250" s="624" t="s">
        <v>883</v>
      </c>
      <c r="I250" s="623">
        <v>5.0000000000000001E-3</v>
      </c>
      <c r="J250" s="619"/>
      <c r="K250" s="633">
        <v>2.0000000000000001E-4</v>
      </c>
    </row>
    <row r="251" spans="1:11">
      <c r="A251" s="621" t="s">
        <v>1057</v>
      </c>
      <c r="B251" s="624" t="s">
        <v>886</v>
      </c>
      <c r="C251" s="623">
        <v>2800</v>
      </c>
      <c r="D251" s="623"/>
      <c r="E251" s="623"/>
      <c r="F251" s="623">
        <v>2800</v>
      </c>
      <c r="G251" s="623">
        <v>20000</v>
      </c>
      <c r="H251" s="624" t="s">
        <v>883</v>
      </c>
      <c r="I251" s="623">
        <v>0.14000000000000001</v>
      </c>
      <c r="J251" s="619"/>
      <c r="K251" s="633">
        <v>5.8999999999999999E-3</v>
      </c>
    </row>
    <row r="252" spans="1:11">
      <c r="A252" s="621" t="s">
        <v>1058</v>
      </c>
      <c r="B252" s="624" t="s">
        <v>887</v>
      </c>
      <c r="C252" s="623">
        <v>5000</v>
      </c>
      <c r="D252" s="623"/>
      <c r="E252" s="623"/>
      <c r="F252" s="623">
        <v>5000</v>
      </c>
      <c r="G252" s="623">
        <v>20000</v>
      </c>
      <c r="H252" s="624" t="s">
        <v>883</v>
      </c>
      <c r="I252" s="623">
        <v>0.25</v>
      </c>
      <c r="J252" s="619"/>
      <c r="K252" s="633">
        <v>1.06E-2</v>
      </c>
    </row>
    <row r="253" spans="1:11">
      <c r="A253" s="621" t="s">
        <v>1059</v>
      </c>
      <c r="B253" s="624" t="s">
        <v>888</v>
      </c>
      <c r="C253" s="623">
        <v>3000</v>
      </c>
      <c r="D253" s="623"/>
      <c r="E253" s="623"/>
      <c r="F253" s="623">
        <v>3000</v>
      </c>
      <c r="G253" s="623">
        <v>20000</v>
      </c>
      <c r="H253" s="624" t="s">
        <v>883</v>
      </c>
      <c r="I253" s="623">
        <v>0.15</v>
      </c>
      <c r="J253" s="619"/>
      <c r="K253" s="633">
        <v>6.3E-3</v>
      </c>
    </row>
    <row r="254" spans="1:11">
      <c r="A254" s="621" t="s">
        <v>1060</v>
      </c>
      <c r="B254" s="624" t="s">
        <v>889</v>
      </c>
      <c r="C254" s="623">
        <v>260</v>
      </c>
      <c r="D254" s="623"/>
      <c r="E254" s="623"/>
      <c r="F254" s="623">
        <v>260</v>
      </c>
      <c r="G254" s="623">
        <v>20000</v>
      </c>
      <c r="H254" s="624" t="s">
        <v>883</v>
      </c>
      <c r="I254" s="623">
        <v>1.2999999999999999E-2</v>
      </c>
      <c r="J254" s="619"/>
      <c r="K254" s="633">
        <v>5.0000000000000001E-4</v>
      </c>
    </row>
    <row r="255" spans="1:11">
      <c r="A255" s="621" t="s">
        <v>1061</v>
      </c>
      <c r="B255" s="624" t="s">
        <v>890</v>
      </c>
      <c r="C255" s="623">
        <v>1000</v>
      </c>
      <c r="D255" s="623"/>
      <c r="E255" s="623"/>
      <c r="F255" s="623">
        <v>1000</v>
      </c>
      <c r="G255" s="623">
        <v>20000</v>
      </c>
      <c r="H255" s="624" t="s">
        <v>883</v>
      </c>
      <c r="I255" s="623">
        <v>0.05</v>
      </c>
      <c r="J255" s="619"/>
      <c r="K255" s="633">
        <v>2.0999999999999999E-3</v>
      </c>
    </row>
    <row r="256" spans="1:11">
      <c r="A256" s="621" t="s">
        <v>1062</v>
      </c>
      <c r="B256" s="624" t="s">
        <v>892</v>
      </c>
      <c r="C256" s="623">
        <v>1200</v>
      </c>
      <c r="D256" s="623"/>
      <c r="E256" s="623"/>
      <c r="F256" s="623">
        <v>1200</v>
      </c>
      <c r="G256" s="623">
        <v>20000</v>
      </c>
      <c r="H256" s="624" t="s">
        <v>883</v>
      </c>
      <c r="I256" s="623">
        <v>0.06</v>
      </c>
      <c r="J256" s="619"/>
      <c r="K256" s="633">
        <v>2.5000000000000001E-3</v>
      </c>
    </row>
    <row r="257" spans="1:11">
      <c r="A257" s="621" t="s">
        <v>1063</v>
      </c>
      <c r="B257" s="624" t="s">
        <v>894</v>
      </c>
      <c r="C257" s="623"/>
      <c r="D257" s="623">
        <v>0</v>
      </c>
      <c r="E257" s="623"/>
      <c r="F257" s="623">
        <v>0</v>
      </c>
      <c r="G257" s="623">
        <v>0</v>
      </c>
      <c r="H257" s="624" t="s">
        <v>895</v>
      </c>
      <c r="I257" s="623">
        <v>45</v>
      </c>
      <c r="J257" s="619"/>
      <c r="K257" s="633">
        <v>0</v>
      </c>
    </row>
    <row r="258" spans="1:11">
      <c r="A258" s="621" t="s">
        <v>1064</v>
      </c>
      <c r="B258" s="624" t="s">
        <v>1040</v>
      </c>
      <c r="C258" s="623">
        <v>400</v>
      </c>
      <c r="D258" s="623"/>
      <c r="E258" s="623"/>
      <c r="F258" s="623"/>
      <c r="G258" s="623">
        <v>10000</v>
      </c>
      <c r="H258" s="624" t="s">
        <v>883</v>
      </c>
      <c r="I258" s="623">
        <v>0.04</v>
      </c>
      <c r="J258" s="619"/>
      <c r="K258" s="633">
        <v>0</v>
      </c>
    </row>
    <row r="259" spans="1:11">
      <c r="A259" s="621" t="s">
        <v>1065</v>
      </c>
      <c r="B259" s="624" t="s">
        <v>897</v>
      </c>
      <c r="C259" s="623">
        <v>120</v>
      </c>
      <c r="D259" s="623"/>
      <c r="E259" s="623"/>
      <c r="F259" s="623">
        <v>120</v>
      </c>
      <c r="G259" s="623">
        <v>20000</v>
      </c>
      <c r="H259" s="624" t="s">
        <v>883</v>
      </c>
      <c r="I259" s="623">
        <v>6.0000000000000001E-3</v>
      </c>
      <c r="J259" s="619"/>
      <c r="K259" s="633">
        <v>2.9999999999999997E-4</v>
      </c>
    </row>
    <row r="260" spans="1:11">
      <c r="A260" s="621" t="s">
        <v>1066</v>
      </c>
      <c r="B260" s="624" t="s">
        <v>899</v>
      </c>
      <c r="C260" s="623">
        <v>40</v>
      </c>
      <c r="D260" s="623"/>
      <c r="E260" s="623"/>
      <c r="F260" s="623">
        <v>40</v>
      </c>
      <c r="G260" s="623">
        <v>20000</v>
      </c>
      <c r="H260" s="624" t="s">
        <v>883</v>
      </c>
      <c r="I260" s="623">
        <v>2E-3</v>
      </c>
      <c r="J260" s="619"/>
      <c r="K260" s="633">
        <v>1E-4</v>
      </c>
    </row>
    <row r="261" spans="1:11">
      <c r="A261" s="627">
        <v>4</v>
      </c>
      <c r="B261" s="616" t="s">
        <v>1067</v>
      </c>
      <c r="C261" s="619">
        <v>0</v>
      </c>
      <c r="D261" s="619">
        <v>53141.88</v>
      </c>
      <c r="E261" s="619">
        <v>0</v>
      </c>
      <c r="F261" s="619">
        <v>53141.88</v>
      </c>
      <c r="G261" s="619"/>
      <c r="H261" s="619"/>
      <c r="I261" s="619"/>
      <c r="J261" s="631"/>
      <c r="K261" s="630">
        <v>0.11219999999999999</v>
      </c>
    </row>
    <row r="262" spans="1:11" ht="43.2">
      <c r="A262" s="621">
        <v>4.0999999999999996</v>
      </c>
      <c r="B262" s="624" t="s">
        <v>1068</v>
      </c>
      <c r="C262" s="623"/>
      <c r="D262" s="623">
        <v>21102.9</v>
      </c>
      <c r="E262" s="623"/>
      <c r="F262" s="623">
        <v>21102.9</v>
      </c>
      <c r="G262" s="623"/>
      <c r="H262" s="623"/>
      <c r="I262" s="623"/>
      <c r="J262" s="652" t="s">
        <v>1069</v>
      </c>
      <c r="K262" s="630">
        <v>4.4600000000000001E-2</v>
      </c>
    </row>
    <row r="263" spans="1:11">
      <c r="A263" s="621" t="s">
        <v>433</v>
      </c>
      <c r="B263" s="623" t="s">
        <v>882</v>
      </c>
      <c r="C263" s="623"/>
      <c r="D263" s="623">
        <v>6371.89</v>
      </c>
      <c r="E263" s="623"/>
      <c r="F263" s="623">
        <v>6371.89</v>
      </c>
      <c r="G263" s="623">
        <v>19474</v>
      </c>
      <c r="H263" s="624" t="s">
        <v>883</v>
      </c>
      <c r="I263" s="623">
        <v>0.32700000000000001</v>
      </c>
      <c r="J263" s="634"/>
      <c r="K263" s="630">
        <v>1.35E-2</v>
      </c>
    </row>
    <row r="264" spans="1:11">
      <c r="A264" s="621" t="s">
        <v>435</v>
      </c>
      <c r="B264" s="623" t="s">
        <v>902</v>
      </c>
      <c r="C264" s="623"/>
      <c r="D264" s="623">
        <v>6371.89</v>
      </c>
      <c r="E264" s="623"/>
      <c r="F264" s="623">
        <v>6371.89</v>
      </c>
      <c r="G264" s="623">
        <v>19474</v>
      </c>
      <c r="H264" s="624" t="s">
        <v>883</v>
      </c>
      <c r="I264" s="623">
        <v>0.32700000000000001</v>
      </c>
      <c r="J264" s="634"/>
      <c r="K264" s="630">
        <v>1.35E-2</v>
      </c>
    </row>
    <row r="265" spans="1:11">
      <c r="A265" s="621" t="s">
        <v>437</v>
      </c>
      <c r="B265" s="623" t="s">
        <v>915</v>
      </c>
      <c r="C265" s="623"/>
      <c r="D265" s="623">
        <v>1634.33</v>
      </c>
      <c r="E265" s="623"/>
      <c r="F265" s="623">
        <v>1634.33</v>
      </c>
      <c r="G265" s="623">
        <v>45398</v>
      </c>
      <c r="H265" s="624" t="s">
        <v>883</v>
      </c>
      <c r="I265" s="623">
        <v>3.5999999999999997E-2</v>
      </c>
      <c r="J265" s="634"/>
      <c r="K265" s="630">
        <v>3.5000000000000001E-3</v>
      </c>
    </row>
    <row r="266" spans="1:11">
      <c r="A266" s="621" t="s">
        <v>439</v>
      </c>
      <c r="B266" s="623" t="s">
        <v>928</v>
      </c>
      <c r="C266" s="623"/>
      <c r="D266" s="623">
        <v>13.48</v>
      </c>
      <c r="E266" s="623"/>
      <c r="F266" s="623">
        <v>13.48</v>
      </c>
      <c r="G266" s="623">
        <v>949</v>
      </c>
      <c r="H266" s="624" t="s">
        <v>883</v>
      </c>
      <c r="I266" s="623">
        <v>1.4E-2</v>
      </c>
      <c r="J266" s="634"/>
      <c r="K266" s="630">
        <v>0</v>
      </c>
    </row>
    <row r="267" spans="1:11">
      <c r="A267" s="621" t="s">
        <v>441</v>
      </c>
      <c r="B267" s="623" t="s">
        <v>937</v>
      </c>
      <c r="C267" s="623"/>
      <c r="D267" s="623">
        <v>7.4</v>
      </c>
      <c r="E267" s="623"/>
      <c r="F267" s="623">
        <v>7.4</v>
      </c>
      <c r="G267" s="623">
        <v>521</v>
      </c>
      <c r="H267" s="624" t="s">
        <v>883</v>
      </c>
      <c r="I267" s="623">
        <v>1.4E-2</v>
      </c>
      <c r="J267" s="634"/>
      <c r="K267" s="630">
        <v>0</v>
      </c>
    </row>
    <row r="268" spans="1:11">
      <c r="A268" s="621" t="s">
        <v>443</v>
      </c>
      <c r="B268" s="623" t="s">
        <v>949</v>
      </c>
      <c r="C268" s="623"/>
      <c r="D268" s="623">
        <v>176.51</v>
      </c>
      <c r="E268" s="623"/>
      <c r="F268" s="623">
        <v>176.51</v>
      </c>
      <c r="G268" s="623">
        <v>39225</v>
      </c>
      <c r="H268" s="624" t="s">
        <v>883</v>
      </c>
      <c r="I268" s="623">
        <v>5.0000000000000001E-3</v>
      </c>
      <c r="J268" s="634"/>
      <c r="K268" s="630">
        <v>4.0000000000000002E-4</v>
      </c>
    </row>
    <row r="269" spans="1:11">
      <c r="A269" s="621" t="s">
        <v>445</v>
      </c>
      <c r="B269" s="623" t="s">
        <v>962</v>
      </c>
      <c r="C269" s="623"/>
      <c r="D269" s="623">
        <v>94.21</v>
      </c>
      <c r="E269" s="623"/>
      <c r="F269" s="623">
        <v>94.21</v>
      </c>
      <c r="G269" s="623">
        <v>20936</v>
      </c>
      <c r="H269" s="624" t="s">
        <v>883</v>
      </c>
      <c r="I269" s="623">
        <v>5.0000000000000001E-3</v>
      </c>
      <c r="J269" s="634"/>
      <c r="K269" s="630">
        <v>2.0000000000000001E-4</v>
      </c>
    </row>
    <row r="270" spans="1:11">
      <c r="A270" s="621" t="s">
        <v>447</v>
      </c>
      <c r="B270" s="623" t="s">
        <v>974</v>
      </c>
      <c r="C270" s="623"/>
      <c r="D270" s="623">
        <v>20.25</v>
      </c>
      <c r="E270" s="623"/>
      <c r="F270" s="623">
        <v>20.25</v>
      </c>
      <c r="G270" s="623">
        <v>4500</v>
      </c>
      <c r="H270" s="624" t="s">
        <v>883</v>
      </c>
      <c r="I270" s="623">
        <v>5.0000000000000001E-3</v>
      </c>
      <c r="J270" s="634"/>
      <c r="K270" s="630">
        <v>0</v>
      </c>
    </row>
    <row r="271" spans="1:11">
      <c r="A271" s="621" t="s">
        <v>449</v>
      </c>
      <c r="B271" s="623" t="s">
        <v>986</v>
      </c>
      <c r="C271" s="623"/>
      <c r="D271" s="623">
        <v>89.48</v>
      </c>
      <c r="E271" s="623"/>
      <c r="F271" s="623">
        <v>89.48</v>
      </c>
      <c r="G271" s="623">
        <v>19884</v>
      </c>
      <c r="H271" s="624" t="s">
        <v>883</v>
      </c>
      <c r="I271" s="623">
        <v>5.0000000000000001E-3</v>
      </c>
      <c r="J271" s="634"/>
      <c r="K271" s="630">
        <v>2.0000000000000001E-4</v>
      </c>
    </row>
    <row r="272" spans="1:11">
      <c r="A272" s="621" t="s">
        <v>451</v>
      </c>
      <c r="B272" s="623" t="s">
        <v>989</v>
      </c>
      <c r="C272" s="623"/>
      <c r="D272" s="623">
        <v>89.48</v>
      </c>
      <c r="E272" s="623"/>
      <c r="F272" s="623">
        <v>89.48</v>
      </c>
      <c r="G272" s="623">
        <v>19884</v>
      </c>
      <c r="H272" s="624" t="s">
        <v>883</v>
      </c>
      <c r="I272" s="623">
        <v>5.0000000000000001E-3</v>
      </c>
      <c r="J272" s="634"/>
      <c r="K272" s="630">
        <v>2.0000000000000001E-4</v>
      </c>
    </row>
    <row r="273" spans="1:11">
      <c r="A273" s="621" t="s">
        <v>453</v>
      </c>
      <c r="B273" s="623" t="s">
        <v>993</v>
      </c>
      <c r="C273" s="623"/>
      <c r="D273" s="623">
        <v>56.66</v>
      </c>
      <c r="E273" s="623"/>
      <c r="F273" s="623">
        <v>56.66</v>
      </c>
      <c r="G273" s="623">
        <v>12591</v>
      </c>
      <c r="H273" s="624" t="s">
        <v>883</v>
      </c>
      <c r="I273" s="623">
        <v>5.0000000000000001E-3</v>
      </c>
      <c r="J273" s="634"/>
      <c r="K273" s="630">
        <v>1E-4</v>
      </c>
    </row>
    <row r="274" spans="1:11">
      <c r="A274" s="621" t="s">
        <v>455</v>
      </c>
      <c r="B274" s="623" t="s">
        <v>997</v>
      </c>
      <c r="C274" s="623"/>
      <c r="D274" s="623">
        <v>56.66</v>
      </c>
      <c r="E274" s="623"/>
      <c r="F274" s="623">
        <v>56.66</v>
      </c>
      <c r="G274" s="623">
        <v>12591</v>
      </c>
      <c r="H274" s="624" t="s">
        <v>883</v>
      </c>
      <c r="I274" s="623">
        <v>5.0000000000000001E-3</v>
      </c>
      <c r="J274" s="634"/>
      <c r="K274" s="630">
        <v>1E-4</v>
      </c>
    </row>
    <row r="275" spans="1:11">
      <c r="A275" s="621" t="s">
        <v>457</v>
      </c>
      <c r="B275" s="623" t="s">
        <v>1001</v>
      </c>
      <c r="C275" s="623"/>
      <c r="D275" s="623">
        <v>44.59</v>
      </c>
      <c r="E275" s="623"/>
      <c r="F275" s="623">
        <v>44.59</v>
      </c>
      <c r="G275" s="623">
        <v>9908</v>
      </c>
      <c r="H275" s="624" t="s">
        <v>883</v>
      </c>
      <c r="I275" s="623">
        <v>5.0000000000000001E-3</v>
      </c>
      <c r="J275" s="634"/>
      <c r="K275" s="630">
        <v>1E-4</v>
      </c>
    </row>
    <row r="276" spans="1:11">
      <c r="A276" s="621" t="s">
        <v>459</v>
      </c>
      <c r="B276" s="623" t="s">
        <v>1005</v>
      </c>
      <c r="C276" s="623"/>
      <c r="D276" s="623">
        <v>51.24</v>
      </c>
      <c r="E276" s="623"/>
      <c r="F276" s="623">
        <v>51.24</v>
      </c>
      <c r="G276" s="623">
        <v>11387</v>
      </c>
      <c r="H276" s="624" t="s">
        <v>883</v>
      </c>
      <c r="I276" s="623">
        <v>5.0000000000000001E-3</v>
      </c>
      <c r="J276" s="634"/>
      <c r="K276" s="630">
        <v>1E-4</v>
      </c>
    </row>
    <row r="277" spans="1:11">
      <c r="A277" s="621" t="s">
        <v>461</v>
      </c>
      <c r="B277" s="623" t="s">
        <v>1009</v>
      </c>
      <c r="C277" s="623"/>
      <c r="D277" s="623">
        <v>51.24</v>
      </c>
      <c r="E277" s="623"/>
      <c r="F277" s="623">
        <v>51.24</v>
      </c>
      <c r="G277" s="623">
        <v>11387</v>
      </c>
      <c r="H277" s="624" t="s">
        <v>883</v>
      </c>
      <c r="I277" s="623">
        <v>5.0000000000000001E-3</v>
      </c>
      <c r="J277" s="634"/>
      <c r="K277" s="630">
        <v>1E-4</v>
      </c>
    </row>
    <row r="278" spans="1:11">
      <c r="A278" s="621" t="s">
        <v>415</v>
      </c>
      <c r="B278" s="623" t="s">
        <v>1013</v>
      </c>
      <c r="C278" s="623"/>
      <c r="D278" s="623">
        <v>51.24</v>
      </c>
      <c r="E278" s="623"/>
      <c r="F278" s="623">
        <v>51.24</v>
      </c>
      <c r="G278" s="623">
        <v>11387</v>
      </c>
      <c r="H278" s="624" t="s">
        <v>883</v>
      </c>
      <c r="I278" s="623">
        <v>5.0000000000000001E-3</v>
      </c>
      <c r="J278" s="634"/>
      <c r="K278" s="630">
        <v>1E-4</v>
      </c>
    </row>
    <row r="279" spans="1:11">
      <c r="A279" s="621" t="s">
        <v>417</v>
      </c>
      <c r="B279" s="623" t="s">
        <v>1017</v>
      </c>
      <c r="C279" s="623"/>
      <c r="D279" s="623">
        <v>1050.3</v>
      </c>
      <c r="E279" s="623"/>
      <c r="F279" s="623">
        <v>1050.3</v>
      </c>
      <c r="G279" s="623">
        <v>87525</v>
      </c>
      <c r="H279" s="624" t="s">
        <v>883</v>
      </c>
      <c r="I279" s="623">
        <v>1.2E-2</v>
      </c>
      <c r="J279" s="634"/>
      <c r="K279" s="630">
        <v>2.2000000000000001E-3</v>
      </c>
    </row>
    <row r="280" spans="1:11">
      <c r="A280" s="621" t="s">
        <v>419</v>
      </c>
      <c r="B280" s="623" t="s">
        <v>1070</v>
      </c>
      <c r="C280" s="623"/>
      <c r="D280" s="623">
        <v>660</v>
      </c>
      <c r="E280" s="623"/>
      <c r="F280" s="623">
        <v>660</v>
      </c>
      <c r="G280" s="623">
        <v>55000</v>
      </c>
      <c r="H280" s="624" t="s">
        <v>883</v>
      </c>
      <c r="I280" s="623">
        <v>1.2E-2</v>
      </c>
      <c r="J280" s="634"/>
      <c r="K280" s="630">
        <v>1.4E-3</v>
      </c>
    </row>
    <row r="281" spans="1:11">
      <c r="A281" s="621" t="s">
        <v>421</v>
      </c>
      <c r="B281" s="624" t="s">
        <v>205</v>
      </c>
      <c r="C281" s="623"/>
      <c r="D281" s="623">
        <v>4212.05</v>
      </c>
      <c r="E281" s="623"/>
      <c r="F281" s="623">
        <v>4212.05</v>
      </c>
      <c r="G281" s="623">
        <v>679362.9</v>
      </c>
      <c r="H281" s="624" t="s">
        <v>883</v>
      </c>
      <c r="I281" s="623">
        <v>6.0000000000000001E-3</v>
      </c>
      <c r="J281" s="634"/>
      <c r="K281" s="630">
        <v>8.8999999999999999E-3</v>
      </c>
    </row>
    <row r="282" spans="1:11">
      <c r="A282" s="621">
        <v>4.2</v>
      </c>
      <c r="B282" s="624" t="s">
        <v>479</v>
      </c>
      <c r="C282" s="623"/>
      <c r="D282" s="623">
        <v>22038.98</v>
      </c>
      <c r="E282" s="623"/>
      <c r="F282" s="623">
        <v>22038.98</v>
      </c>
      <c r="G282" s="623"/>
      <c r="H282" s="623"/>
      <c r="I282" s="623"/>
      <c r="J282" s="634"/>
      <c r="K282" s="630">
        <v>4.65E-2</v>
      </c>
    </row>
    <row r="283" spans="1:11">
      <c r="A283" s="621">
        <v>4.3</v>
      </c>
      <c r="B283" s="624" t="s">
        <v>1071</v>
      </c>
      <c r="C283" s="623"/>
      <c r="D283" s="623">
        <v>10000</v>
      </c>
      <c r="E283" s="623"/>
      <c r="F283" s="623">
        <v>10000</v>
      </c>
      <c r="G283" s="623"/>
      <c r="H283" s="623"/>
      <c r="I283" s="623"/>
      <c r="J283" s="634"/>
      <c r="K283" s="630">
        <v>2.1100000000000001E-2</v>
      </c>
    </row>
    <row r="284" spans="1:11">
      <c r="A284" s="627">
        <v>5</v>
      </c>
      <c r="B284" s="616" t="s">
        <v>370</v>
      </c>
      <c r="C284" s="619">
        <v>47414.62</v>
      </c>
      <c r="D284" s="619">
        <v>0</v>
      </c>
      <c r="E284" s="619">
        <v>0</v>
      </c>
      <c r="F284" s="619">
        <v>47414.62</v>
      </c>
      <c r="G284" s="619"/>
      <c r="H284" s="619"/>
      <c r="I284" s="619"/>
      <c r="J284" s="631"/>
      <c r="K284" s="630">
        <v>0.10009999999999999</v>
      </c>
    </row>
    <row r="285" spans="1:11">
      <c r="A285" s="621">
        <v>5.0999999999999996</v>
      </c>
      <c r="B285" s="623" t="s">
        <v>1072</v>
      </c>
      <c r="C285" s="623">
        <v>8800</v>
      </c>
      <c r="D285" s="623">
        <v>0</v>
      </c>
      <c r="E285" s="623">
        <v>0</v>
      </c>
      <c r="F285" s="623">
        <v>8800</v>
      </c>
      <c r="G285" s="623">
        <v>11000</v>
      </c>
      <c r="H285" s="624" t="s">
        <v>883</v>
      </c>
      <c r="I285" s="623">
        <v>0.8</v>
      </c>
      <c r="J285" s="634"/>
      <c r="K285" s="630">
        <v>1.8599999999999998E-2</v>
      </c>
    </row>
    <row r="286" spans="1:11">
      <c r="A286" s="621" t="s">
        <v>1073</v>
      </c>
      <c r="B286" s="624" t="s">
        <v>1074</v>
      </c>
      <c r="C286" s="623">
        <v>1650</v>
      </c>
      <c r="D286" s="623"/>
      <c r="E286" s="623"/>
      <c r="F286" s="623">
        <v>1650</v>
      </c>
      <c r="G286" s="623">
        <v>11000</v>
      </c>
      <c r="H286" s="624" t="s">
        <v>883</v>
      </c>
      <c r="I286" s="623">
        <v>0.15</v>
      </c>
      <c r="J286" s="634"/>
      <c r="K286" s="630">
        <v>3.5000000000000001E-3</v>
      </c>
    </row>
    <row r="287" spans="1:11">
      <c r="A287" s="621" t="s">
        <v>1075</v>
      </c>
      <c r="B287" s="624" t="s">
        <v>1076</v>
      </c>
      <c r="C287" s="623">
        <v>6600</v>
      </c>
      <c r="D287" s="623"/>
      <c r="E287" s="623"/>
      <c r="F287" s="623">
        <v>6600</v>
      </c>
      <c r="G287" s="623">
        <v>11000</v>
      </c>
      <c r="H287" s="624" t="s">
        <v>883</v>
      </c>
      <c r="I287" s="623">
        <v>0.6</v>
      </c>
      <c r="J287" s="634"/>
      <c r="K287" s="630">
        <v>1.3899999999999999E-2</v>
      </c>
    </row>
    <row r="288" spans="1:11">
      <c r="A288" s="621" t="s">
        <v>1075</v>
      </c>
      <c r="B288" s="624" t="s">
        <v>1077</v>
      </c>
      <c r="C288" s="623">
        <v>550</v>
      </c>
      <c r="D288" s="623"/>
      <c r="E288" s="623"/>
      <c r="F288" s="623">
        <v>550</v>
      </c>
      <c r="G288" s="623">
        <v>11000</v>
      </c>
      <c r="H288" s="624" t="s">
        <v>883</v>
      </c>
      <c r="I288" s="623">
        <v>0.05</v>
      </c>
      <c r="J288" s="634"/>
      <c r="K288" s="630">
        <v>1.1999999999999999E-3</v>
      </c>
    </row>
    <row r="289" spans="1:11">
      <c r="A289" s="621">
        <v>5.2</v>
      </c>
      <c r="B289" s="623" t="s">
        <v>1078</v>
      </c>
      <c r="C289" s="623">
        <v>8800</v>
      </c>
      <c r="D289" s="623">
        <v>0</v>
      </c>
      <c r="E289" s="623">
        <v>0</v>
      </c>
      <c r="F289" s="623">
        <v>8800</v>
      </c>
      <c r="G289" s="623">
        <v>11000</v>
      </c>
      <c r="H289" s="624" t="s">
        <v>883</v>
      </c>
      <c r="I289" s="623">
        <v>0.8</v>
      </c>
      <c r="J289" s="634"/>
      <c r="K289" s="630">
        <v>1.8599999999999998E-2</v>
      </c>
    </row>
    <row r="290" spans="1:11">
      <c r="A290" s="621" t="s">
        <v>1079</v>
      </c>
      <c r="B290" s="624" t="s">
        <v>1074</v>
      </c>
      <c r="C290" s="623">
        <v>1650</v>
      </c>
      <c r="D290" s="623"/>
      <c r="E290" s="623"/>
      <c r="F290" s="623">
        <v>1650</v>
      </c>
      <c r="G290" s="623">
        <v>11000</v>
      </c>
      <c r="H290" s="624" t="s">
        <v>883</v>
      </c>
      <c r="I290" s="623">
        <v>0.15</v>
      </c>
      <c r="J290" s="634"/>
      <c r="K290" s="630">
        <v>3.5000000000000001E-3</v>
      </c>
    </row>
    <row r="291" spans="1:11">
      <c r="A291" s="621" t="s">
        <v>1080</v>
      </c>
      <c r="B291" s="624" t="s">
        <v>1076</v>
      </c>
      <c r="C291" s="623">
        <v>6600</v>
      </c>
      <c r="D291" s="623"/>
      <c r="E291" s="623"/>
      <c r="F291" s="623">
        <v>6600</v>
      </c>
      <c r="G291" s="623">
        <v>11000</v>
      </c>
      <c r="H291" s="624" t="s">
        <v>883</v>
      </c>
      <c r="I291" s="623">
        <v>0.6</v>
      </c>
      <c r="J291" s="634"/>
      <c r="K291" s="630">
        <v>1.3899999999999999E-2</v>
      </c>
    </row>
    <row r="292" spans="1:11">
      <c r="A292" s="621" t="s">
        <v>1081</v>
      </c>
      <c r="B292" s="624" t="s">
        <v>1077</v>
      </c>
      <c r="C292" s="623">
        <v>550</v>
      </c>
      <c r="D292" s="623"/>
      <c r="E292" s="623"/>
      <c r="F292" s="623">
        <v>550</v>
      </c>
      <c r="G292" s="623">
        <v>11000</v>
      </c>
      <c r="H292" s="624" t="s">
        <v>883</v>
      </c>
      <c r="I292" s="623">
        <v>0.05</v>
      </c>
      <c r="J292" s="634"/>
      <c r="K292" s="630">
        <v>1.1999999999999999E-3</v>
      </c>
    </row>
    <row r="293" spans="1:11">
      <c r="A293" s="621">
        <v>5.3</v>
      </c>
      <c r="B293" s="623" t="s">
        <v>1082</v>
      </c>
      <c r="C293" s="623">
        <v>4000</v>
      </c>
      <c r="D293" s="623">
        <v>0</v>
      </c>
      <c r="E293" s="623">
        <v>0</v>
      </c>
      <c r="F293" s="623">
        <v>4000</v>
      </c>
      <c r="G293" s="623">
        <v>5000</v>
      </c>
      <c r="H293" s="624" t="s">
        <v>883</v>
      </c>
      <c r="I293" s="623">
        <v>0.8</v>
      </c>
      <c r="J293" s="634"/>
      <c r="K293" s="630">
        <v>8.3999999999999995E-3</v>
      </c>
    </row>
    <row r="294" spans="1:11">
      <c r="A294" s="621" t="s">
        <v>1083</v>
      </c>
      <c r="B294" s="624" t="s">
        <v>1074</v>
      </c>
      <c r="C294" s="623">
        <v>750</v>
      </c>
      <c r="D294" s="623"/>
      <c r="E294" s="623"/>
      <c r="F294" s="623">
        <v>750</v>
      </c>
      <c r="G294" s="623">
        <v>5000</v>
      </c>
      <c r="H294" s="624" t="s">
        <v>883</v>
      </c>
      <c r="I294" s="623">
        <v>0.15</v>
      </c>
      <c r="J294" s="634"/>
      <c r="K294" s="630">
        <v>1.6000000000000001E-3</v>
      </c>
    </row>
    <row r="295" spans="1:11">
      <c r="A295" s="621" t="s">
        <v>1084</v>
      </c>
      <c r="B295" s="624" t="s">
        <v>1076</v>
      </c>
      <c r="C295" s="623">
        <v>3000</v>
      </c>
      <c r="D295" s="623"/>
      <c r="E295" s="623"/>
      <c r="F295" s="623">
        <v>3000</v>
      </c>
      <c r="G295" s="623">
        <v>5000</v>
      </c>
      <c r="H295" s="624" t="s">
        <v>883</v>
      </c>
      <c r="I295" s="623">
        <v>0.6</v>
      </c>
      <c r="J295" s="634"/>
      <c r="K295" s="630">
        <v>6.3E-3</v>
      </c>
    </row>
    <row r="296" spans="1:11">
      <c r="A296" s="621" t="s">
        <v>1085</v>
      </c>
      <c r="B296" s="624" t="s">
        <v>1077</v>
      </c>
      <c r="C296" s="623">
        <v>250</v>
      </c>
      <c r="D296" s="623"/>
      <c r="E296" s="623"/>
      <c r="F296" s="623">
        <v>250</v>
      </c>
      <c r="G296" s="623">
        <v>5000</v>
      </c>
      <c r="H296" s="624" t="s">
        <v>883</v>
      </c>
      <c r="I296" s="623">
        <v>0.05</v>
      </c>
      <c r="J296" s="634"/>
      <c r="K296" s="630">
        <v>5.0000000000000001E-4</v>
      </c>
    </row>
    <row r="297" spans="1:11">
      <c r="A297" s="621">
        <v>5.4</v>
      </c>
      <c r="B297" s="623" t="s">
        <v>1086</v>
      </c>
      <c r="C297" s="623">
        <v>3200</v>
      </c>
      <c r="D297" s="623">
        <v>0</v>
      </c>
      <c r="E297" s="623">
        <v>0</v>
      </c>
      <c r="F297" s="623">
        <v>3200</v>
      </c>
      <c r="G297" s="623">
        <v>4000</v>
      </c>
      <c r="H297" s="624" t="s">
        <v>883</v>
      </c>
      <c r="I297" s="623">
        <v>0.8</v>
      </c>
      <c r="J297" s="634"/>
      <c r="K297" s="630">
        <v>6.7999999999999996E-3</v>
      </c>
    </row>
    <row r="298" spans="1:11">
      <c r="A298" s="621" t="s">
        <v>1087</v>
      </c>
      <c r="B298" s="624" t="s">
        <v>1074</v>
      </c>
      <c r="C298" s="623">
        <v>600</v>
      </c>
      <c r="D298" s="623"/>
      <c r="E298" s="623"/>
      <c r="F298" s="623">
        <v>600</v>
      </c>
      <c r="G298" s="623">
        <v>4000</v>
      </c>
      <c r="H298" s="624" t="s">
        <v>883</v>
      </c>
      <c r="I298" s="623">
        <v>0.15</v>
      </c>
      <c r="J298" s="634"/>
      <c r="K298" s="630">
        <v>1.2999999999999999E-3</v>
      </c>
    </row>
    <row r="299" spans="1:11">
      <c r="A299" s="621" t="s">
        <v>1088</v>
      </c>
      <c r="B299" s="624" t="s">
        <v>1076</v>
      </c>
      <c r="C299" s="623">
        <v>2400</v>
      </c>
      <c r="D299" s="623"/>
      <c r="E299" s="623"/>
      <c r="F299" s="623">
        <v>2400</v>
      </c>
      <c r="G299" s="623">
        <v>4000</v>
      </c>
      <c r="H299" s="624" t="s">
        <v>883</v>
      </c>
      <c r="I299" s="623">
        <v>0.6</v>
      </c>
      <c r="J299" s="634"/>
      <c r="K299" s="630">
        <v>5.1000000000000004E-3</v>
      </c>
    </row>
    <row r="300" spans="1:11">
      <c r="A300" s="621" t="s">
        <v>1089</v>
      </c>
      <c r="B300" s="624" t="s">
        <v>1077</v>
      </c>
      <c r="C300" s="623">
        <v>200</v>
      </c>
      <c r="D300" s="623"/>
      <c r="E300" s="623"/>
      <c r="F300" s="623">
        <v>200</v>
      </c>
      <c r="G300" s="623">
        <v>4000</v>
      </c>
      <c r="H300" s="624" t="s">
        <v>883</v>
      </c>
      <c r="I300" s="623">
        <v>0.05</v>
      </c>
      <c r="J300" s="634"/>
      <c r="K300" s="630">
        <v>4.0000000000000002E-4</v>
      </c>
    </row>
    <row r="301" spans="1:11">
      <c r="A301" s="621">
        <v>5.5</v>
      </c>
      <c r="B301" s="623" t="s">
        <v>1090</v>
      </c>
      <c r="C301" s="623">
        <v>750</v>
      </c>
      <c r="D301" s="623">
        <v>0</v>
      </c>
      <c r="E301" s="623">
        <v>0</v>
      </c>
      <c r="F301" s="623">
        <v>750</v>
      </c>
      <c r="G301" s="623">
        <v>1500</v>
      </c>
      <c r="H301" s="624" t="s">
        <v>883</v>
      </c>
      <c r="I301" s="623">
        <v>0.5</v>
      </c>
      <c r="J301" s="634"/>
      <c r="K301" s="630">
        <v>1.6000000000000001E-3</v>
      </c>
    </row>
    <row r="302" spans="1:11">
      <c r="A302" s="621" t="s">
        <v>1091</v>
      </c>
      <c r="B302" s="624" t="s">
        <v>1074</v>
      </c>
      <c r="C302" s="623">
        <v>225</v>
      </c>
      <c r="D302" s="623"/>
      <c r="E302" s="623"/>
      <c r="F302" s="623">
        <v>225</v>
      </c>
      <c r="G302" s="623">
        <v>1500</v>
      </c>
      <c r="H302" s="624" t="s">
        <v>883</v>
      </c>
      <c r="I302" s="623">
        <v>0.15</v>
      </c>
      <c r="J302" s="634"/>
      <c r="K302" s="630">
        <v>5.0000000000000001E-4</v>
      </c>
    </row>
    <row r="303" spans="1:11">
      <c r="A303" s="621" t="s">
        <v>1092</v>
      </c>
      <c r="B303" s="624" t="s">
        <v>1076</v>
      </c>
      <c r="C303" s="623">
        <v>450</v>
      </c>
      <c r="D303" s="623"/>
      <c r="E303" s="623"/>
      <c r="F303" s="623">
        <v>450</v>
      </c>
      <c r="G303" s="623">
        <v>1500</v>
      </c>
      <c r="H303" s="624" t="s">
        <v>883</v>
      </c>
      <c r="I303" s="623">
        <v>0.3</v>
      </c>
      <c r="J303" s="634"/>
      <c r="K303" s="630">
        <v>1E-3</v>
      </c>
    </row>
    <row r="304" spans="1:11">
      <c r="A304" s="621" t="s">
        <v>1093</v>
      </c>
      <c r="B304" s="624" t="s">
        <v>1077</v>
      </c>
      <c r="C304" s="623">
        <v>75</v>
      </c>
      <c r="D304" s="623"/>
      <c r="E304" s="623"/>
      <c r="F304" s="623">
        <v>75</v>
      </c>
      <c r="G304" s="623">
        <v>1500</v>
      </c>
      <c r="H304" s="624" t="s">
        <v>883</v>
      </c>
      <c r="I304" s="623">
        <v>0.05</v>
      </c>
      <c r="J304" s="634"/>
      <c r="K304" s="630">
        <v>2.0000000000000001E-4</v>
      </c>
    </row>
    <row r="305" spans="1:11">
      <c r="A305" s="621">
        <v>5.6</v>
      </c>
      <c r="B305" s="624" t="s">
        <v>1094</v>
      </c>
      <c r="C305" s="623">
        <v>21864.62</v>
      </c>
      <c r="D305" s="623">
        <v>0</v>
      </c>
      <c r="E305" s="623">
        <v>0</v>
      </c>
      <c r="F305" s="623">
        <v>21864.62</v>
      </c>
      <c r="G305" s="623">
        <v>590935.81000000006</v>
      </c>
      <c r="H305" s="624" t="s">
        <v>883</v>
      </c>
      <c r="I305" s="623">
        <v>0.1</v>
      </c>
      <c r="J305" s="634"/>
      <c r="K305" s="630">
        <v>4.6199999999999998E-2</v>
      </c>
    </row>
    <row r="306" spans="1:11">
      <c r="A306" s="621" t="s">
        <v>1095</v>
      </c>
      <c r="B306" s="624" t="s">
        <v>1096</v>
      </c>
      <c r="C306" s="623">
        <v>21864.62</v>
      </c>
      <c r="D306" s="623"/>
      <c r="E306" s="623"/>
      <c r="F306" s="623">
        <v>21864.62</v>
      </c>
      <c r="G306" s="623">
        <v>590935.81000000006</v>
      </c>
      <c r="H306" s="623"/>
      <c r="I306" s="623"/>
      <c r="J306" s="634"/>
      <c r="K306" s="630">
        <v>4.6199999999999998E-2</v>
      </c>
    </row>
    <row r="307" spans="1:11">
      <c r="A307" s="621" t="s">
        <v>1097</v>
      </c>
      <c r="B307" s="624" t="s">
        <v>1098</v>
      </c>
      <c r="C307" s="623">
        <v>21864.62</v>
      </c>
      <c r="D307" s="623"/>
      <c r="E307" s="623"/>
      <c r="F307" s="623">
        <v>21864.62</v>
      </c>
      <c r="G307" s="623">
        <v>118187.162</v>
      </c>
      <c r="H307" s="624" t="s">
        <v>883</v>
      </c>
      <c r="I307" s="623"/>
      <c r="J307" s="634"/>
      <c r="K307" s="630">
        <v>4.6199999999999998E-2</v>
      </c>
    </row>
    <row r="308" spans="1:11">
      <c r="A308" s="621" t="s">
        <v>1099</v>
      </c>
      <c r="B308" s="624" t="s">
        <v>885</v>
      </c>
      <c r="C308" s="623">
        <v>2363.7399999999998</v>
      </c>
      <c r="D308" s="623"/>
      <c r="E308" s="623"/>
      <c r="F308" s="623">
        <v>2363.7399999999998</v>
      </c>
      <c r="G308" s="623">
        <v>118187.162</v>
      </c>
      <c r="H308" s="624" t="s">
        <v>883</v>
      </c>
      <c r="I308" s="623">
        <v>0.02</v>
      </c>
      <c r="J308" s="634"/>
      <c r="K308" s="630">
        <v>5.0000000000000001E-3</v>
      </c>
    </row>
    <row r="309" spans="1:11">
      <c r="A309" s="621" t="s">
        <v>1100</v>
      </c>
      <c r="B309" s="624" t="s">
        <v>1101</v>
      </c>
      <c r="C309" s="623">
        <v>14182.46</v>
      </c>
      <c r="D309" s="623"/>
      <c r="E309" s="623"/>
      <c r="F309" s="623">
        <v>14182.46</v>
      </c>
      <c r="G309" s="623">
        <v>118187.162</v>
      </c>
      <c r="H309" s="624" t="s">
        <v>883</v>
      </c>
      <c r="I309" s="623">
        <v>0.12</v>
      </c>
      <c r="J309" s="634"/>
      <c r="K309" s="630">
        <v>0.03</v>
      </c>
    </row>
    <row r="310" spans="1:11">
      <c r="A310" s="621" t="s">
        <v>1102</v>
      </c>
      <c r="B310" s="624" t="s">
        <v>1103</v>
      </c>
      <c r="C310" s="623">
        <v>2363.7399999999998</v>
      </c>
      <c r="D310" s="623"/>
      <c r="E310" s="623"/>
      <c r="F310" s="623">
        <v>2363.7399999999998</v>
      </c>
      <c r="G310" s="623">
        <v>590935.81000000006</v>
      </c>
      <c r="H310" s="624" t="s">
        <v>883</v>
      </c>
      <c r="I310" s="623">
        <v>4.0000000000000001E-3</v>
      </c>
      <c r="J310" s="634"/>
      <c r="K310" s="630">
        <v>5.0000000000000001E-3</v>
      </c>
    </row>
    <row r="311" spans="1:11">
      <c r="A311" s="621" t="s">
        <v>1104</v>
      </c>
      <c r="B311" s="624" t="s">
        <v>1105</v>
      </c>
      <c r="C311" s="623">
        <v>2954.68</v>
      </c>
      <c r="D311" s="623"/>
      <c r="E311" s="623"/>
      <c r="F311" s="623">
        <v>2954.68</v>
      </c>
      <c r="G311" s="623">
        <v>590935.81000000006</v>
      </c>
      <c r="H311" s="624" t="s">
        <v>883</v>
      </c>
      <c r="I311" s="623">
        <v>5.0000000000000001E-3</v>
      </c>
      <c r="J311" s="634"/>
      <c r="K311" s="630">
        <v>6.1999999999999998E-3</v>
      </c>
    </row>
    <row r="312" spans="1:11">
      <c r="A312" s="621">
        <v>6</v>
      </c>
      <c r="B312" s="624" t="s">
        <v>507</v>
      </c>
      <c r="C312" s="623"/>
      <c r="D312" s="623"/>
      <c r="E312" s="623">
        <v>731</v>
      </c>
      <c r="F312" s="623">
        <v>731</v>
      </c>
      <c r="G312" s="623"/>
      <c r="H312" s="623"/>
      <c r="I312" s="623"/>
      <c r="J312" s="634"/>
      <c r="K312" s="630">
        <v>1.5E-3</v>
      </c>
    </row>
    <row r="313" spans="1:11">
      <c r="A313" s="621">
        <v>7</v>
      </c>
      <c r="B313" s="624" t="s">
        <v>1106</v>
      </c>
      <c r="C313" s="623"/>
      <c r="D313" s="623"/>
      <c r="E313" s="623">
        <v>731</v>
      </c>
      <c r="F313" s="623">
        <v>731</v>
      </c>
      <c r="G313" s="623"/>
      <c r="H313" s="623"/>
      <c r="I313" s="623"/>
      <c r="J313" s="634"/>
      <c r="K313" s="630">
        <v>1.5E-3</v>
      </c>
    </row>
    <row r="314" spans="1:11">
      <c r="A314" s="615" t="s">
        <v>1107</v>
      </c>
      <c r="B314" s="650" t="s">
        <v>1108</v>
      </c>
      <c r="C314" s="619"/>
      <c r="D314" s="619"/>
      <c r="E314" s="619">
        <v>26527.26</v>
      </c>
      <c r="F314" s="619">
        <v>26527.26</v>
      </c>
      <c r="G314" s="619"/>
      <c r="H314" s="619"/>
      <c r="I314" s="619"/>
      <c r="J314" s="631"/>
      <c r="K314" s="632">
        <v>5.6000000000000001E-2</v>
      </c>
    </row>
    <row r="315" spans="1:11">
      <c r="A315" s="621">
        <v>1</v>
      </c>
      <c r="B315" s="651" t="s">
        <v>1109</v>
      </c>
      <c r="C315" s="623"/>
      <c r="D315" s="623"/>
      <c r="E315" s="623">
        <v>2424.3200000000002</v>
      </c>
      <c r="F315" s="623">
        <v>2424.3200000000002</v>
      </c>
      <c r="G315" s="623"/>
      <c r="H315" s="619"/>
      <c r="I315" s="619"/>
      <c r="J315" s="653" t="s">
        <v>1110</v>
      </c>
      <c r="K315" s="630">
        <v>5.1000000000000004E-3</v>
      </c>
    </row>
    <row r="316" spans="1:11">
      <c r="A316" s="621">
        <v>2</v>
      </c>
      <c r="B316" s="651" t="s">
        <v>1111</v>
      </c>
      <c r="C316" s="623"/>
      <c r="D316" s="623"/>
      <c r="E316" s="623">
        <v>3443.48</v>
      </c>
      <c r="F316" s="623">
        <v>3443.48</v>
      </c>
      <c r="G316" s="623"/>
      <c r="H316" s="619"/>
      <c r="I316" s="619"/>
      <c r="J316" s="653" t="s">
        <v>1112</v>
      </c>
      <c r="K316" s="630">
        <v>7.3000000000000001E-3</v>
      </c>
    </row>
    <row r="317" spans="1:11">
      <c r="A317" s="621">
        <v>3</v>
      </c>
      <c r="B317" s="651" t="s">
        <v>1113</v>
      </c>
      <c r="C317" s="623"/>
      <c r="D317" s="623"/>
      <c r="E317" s="623">
        <v>290</v>
      </c>
      <c r="F317" s="623">
        <v>290</v>
      </c>
      <c r="G317" s="623"/>
      <c r="H317" s="619"/>
      <c r="I317" s="619"/>
      <c r="J317" s="634"/>
      <c r="K317" s="630">
        <v>5.9999999999999995E-4</v>
      </c>
    </row>
    <row r="318" spans="1:11">
      <c r="A318" s="621">
        <v>3.1</v>
      </c>
      <c r="B318" s="651" t="s">
        <v>1114</v>
      </c>
      <c r="C318" s="623"/>
      <c r="D318" s="623"/>
      <c r="E318" s="623">
        <v>290</v>
      </c>
      <c r="F318" s="623">
        <v>290</v>
      </c>
      <c r="G318" s="623"/>
      <c r="H318" s="619"/>
      <c r="I318" s="619"/>
      <c r="J318" s="653" t="s">
        <v>1115</v>
      </c>
      <c r="K318" s="630">
        <v>5.9999999999999995E-4</v>
      </c>
    </row>
    <row r="319" spans="1:11">
      <c r="A319" s="621">
        <v>4</v>
      </c>
      <c r="B319" s="651" t="s">
        <v>1116</v>
      </c>
      <c r="C319" s="623"/>
      <c r="D319" s="623"/>
      <c r="E319" s="623">
        <v>1016</v>
      </c>
      <c r="F319" s="623">
        <v>1016</v>
      </c>
      <c r="G319" s="623"/>
      <c r="H319" s="619"/>
      <c r="I319" s="619"/>
      <c r="J319" s="653" t="s">
        <v>1117</v>
      </c>
      <c r="K319" s="630">
        <v>2.0999999999999999E-3</v>
      </c>
    </row>
    <row r="320" spans="1:11">
      <c r="A320" s="621">
        <v>4.0999999999999996</v>
      </c>
      <c r="B320" s="651" t="s">
        <v>1118</v>
      </c>
      <c r="C320" s="623"/>
      <c r="D320" s="623"/>
      <c r="E320" s="623">
        <v>280</v>
      </c>
      <c r="F320" s="623">
        <v>280</v>
      </c>
      <c r="G320" s="623"/>
      <c r="H320" s="619"/>
      <c r="I320" s="619"/>
      <c r="J320" s="653" t="s">
        <v>1117</v>
      </c>
      <c r="K320" s="630">
        <v>5.9999999999999995E-4</v>
      </c>
    </row>
    <row r="321" spans="1:11">
      <c r="A321" s="621">
        <v>4.2</v>
      </c>
      <c r="B321" s="651" t="s">
        <v>1119</v>
      </c>
      <c r="C321" s="623"/>
      <c r="D321" s="623"/>
      <c r="E321" s="623">
        <v>608</v>
      </c>
      <c r="F321" s="623">
        <v>608</v>
      </c>
      <c r="G321" s="623"/>
      <c r="H321" s="619"/>
      <c r="I321" s="619"/>
      <c r="J321" s="653" t="s">
        <v>1117</v>
      </c>
      <c r="K321" s="630">
        <v>1.2999999999999999E-3</v>
      </c>
    </row>
    <row r="322" spans="1:11">
      <c r="A322" s="621">
        <v>4.3</v>
      </c>
      <c r="B322" s="651" t="s">
        <v>1120</v>
      </c>
      <c r="C322" s="623"/>
      <c r="D322" s="623"/>
      <c r="E322" s="623">
        <v>128</v>
      </c>
      <c r="F322" s="623">
        <v>128</v>
      </c>
      <c r="G322" s="623"/>
      <c r="H322" s="619"/>
      <c r="I322" s="619"/>
      <c r="J322" s="653" t="s">
        <v>1117</v>
      </c>
      <c r="K322" s="630">
        <v>2.9999999999999997E-4</v>
      </c>
    </row>
    <row r="323" spans="1:11">
      <c r="A323" s="621">
        <v>5</v>
      </c>
      <c r="B323" s="651" t="s">
        <v>1121</v>
      </c>
      <c r="C323" s="623"/>
      <c r="D323" s="623"/>
      <c r="E323" s="623">
        <v>101.9</v>
      </c>
      <c r="F323" s="623">
        <v>101.9</v>
      </c>
      <c r="G323" s="623">
        <v>679362.9</v>
      </c>
      <c r="H323" s="616" t="s">
        <v>883</v>
      </c>
      <c r="I323" s="619"/>
      <c r="J323" s="653" t="s">
        <v>1122</v>
      </c>
      <c r="K323" s="630">
        <v>2.0000000000000001E-4</v>
      </c>
    </row>
    <row r="324" spans="1:11">
      <c r="A324" s="621">
        <v>6</v>
      </c>
      <c r="B324" s="651" t="s">
        <v>1123</v>
      </c>
      <c r="C324" s="623"/>
      <c r="D324" s="623"/>
      <c r="E324" s="623">
        <v>8860.76</v>
      </c>
      <c r="F324" s="623">
        <v>8860.76</v>
      </c>
      <c r="G324" s="623"/>
      <c r="H324" s="619"/>
      <c r="I324" s="619"/>
      <c r="J324" s="634"/>
      <c r="K324" s="630">
        <v>1.8700000000000001E-2</v>
      </c>
    </row>
    <row r="325" spans="1:11">
      <c r="A325" s="621">
        <v>6.1</v>
      </c>
      <c r="B325" s="651" t="s">
        <v>1124</v>
      </c>
      <c r="C325" s="623"/>
      <c r="D325" s="623"/>
      <c r="E325" s="623">
        <v>2218.9299999999998</v>
      </c>
      <c r="F325" s="623">
        <v>2218.9299999999998</v>
      </c>
      <c r="G325" s="623"/>
      <c r="H325" s="619"/>
      <c r="I325" s="619"/>
      <c r="J325" s="653" t="s">
        <v>1125</v>
      </c>
      <c r="K325" s="630">
        <v>4.7000000000000002E-3</v>
      </c>
    </row>
    <row r="326" spans="1:11">
      <c r="A326" s="621">
        <v>6.2</v>
      </c>
      <c r="B326" s="651" t="s">
        <v>1126</v>
      </c>
      <c r="C326" s="623"/>
      <c r="D326" s="623"/>
      <c r="E326" s="623">
        <v>5805.8</v>
      </c>
      <c r="F326" s="623">
        <v>5805.8</v>
      </c>
      <c r="G326" s="623"/>
      <c r="H326" s="619"/>
      <c r="I326" s="619"/>
      <c r="J326" s="653" t="s">
        <v>1125</v>
      </c>
      <c r="K326" s="630">
        <v>1.23E-2</v>
      </c>
    </row>
    <row r="327" spans="1:11">
      <c r="A327" s="621">
        <v>6.3</v>
      </c>
      <c r="B327" s="651" t="s">
        <v>1127</v>
      </c>
      <c r="C327" s="623"/>
      <c r="D327" s="623"/>
      <c r="E327" s="623">
        <v>464.46</v>
      </c>
      <c r="F327" s="623">
        <v>464.46</v>
      </c>
      <c r="G327" s="623"/>
      <c r="H327" s="619"/>
      <c r="I327" s="619"/>
      <c r="J327" s="653" t="s">
        <v>1125</v>
      </c>
      <c r="K327" s="630">
        <v>1E-3</v>
      </c>
    </row>
    <row r="328" spans="1:11">
      <c r="A328" s="621">
        <v>6.4</v>
      </c>
      <c r="B328" s="651" t="s">
        <v>1128</v>
      </c>
      <c r="C328" s="623"/>
      <c r="D328" s="623"/>
      <c r="E328" s="623">
        <v>371.57</v>
      </c>
      <c r="F328" s="623">
        <v>371.57</v>
      </c>
      <c r="G328" s="623"/>
      <c r="H328" s="619"/>
      <c r="I328" s="619"/>
      <c r="J328" s="634"/>
      <c r="K328" s="630">
        <v>8.0000000000000004E-4</v>
      </c>
    </row>
    <row r="329" spans="1:11">
      <c r="A329" s="621">
        <v>7</v>
      </c>
      <c r="B329" s="651" t="s">
        <v>1129</v>
      </c>
      <c r="C329" s="623"/>
      <c r="D329" s="623"/>
      <c r="E329" s="623">
        <v>3155.21</v>
      </c>
      <c r="F329" s="623">
        <v>3155.21</v>
      </c>
      <c r="G329" s="623"/>
      <c r="H329" s="619"/>
      <c r="I329" s="619"/>
      <c r="J329" s="653" t="s">
        <v>1130</v>
      </c>
      <c r="K329" s="630">
        <v>6.7000000000000002E-3</v>
      </c>
    </row>
    <row r="330" spans="1:11">
      <c r="A330" s="621">
        <v>7.1</v>
      </c>
      <c r="B330" s="651" t="s">
        <v>1131</v>
      </c>
      <c r="C330" s="623"/>
      <c r="D330" s="623"/>
      <c r="E330" s="623">
        <v>191.65</v>
      </c>
      <c r="F330" s="623">
        <v>191.65</v>
      </c>
      <c r="G330" s="623"/>
      <c r="H330" s="619"/>
      <c r="I330" s="619"/>
      <c r="J330" s="653" t="s">
        <v>1130</v>
      </c>
      <c r="K330" s="630">
        <v>4.0000000000000002E-4</v>
      </c>
    </row>
    <row r="331" spans="1:11">
      <c r="A331" s="621">
        <v>7.2</v>
      </c>
      <c r="B331" s="651" t="s">
        <v>1132</v>
      </c>
      <c r="C331" s="623"/>
      <c r="D331" s="623"/>
      <c r="E331" s="623">
        <v>121.21</v>
      </c>
      <c r="F331" s="623">
        <v>121.21</v>
      </c>
      <c r="G331" s="623"/>
      <c r="H331" s="619"/>
      <c r="I331" s="619"/>
      <c r="J331" s="653" t="s">
        <v>1130</v>
      </c>
      <c r="K331" s="630">
        <v>2.9999999999999997E-4</v>
      </c>
    </row>
    <row r="332" spans="1:11">
      <c r="A332" s="621">
        <v>7.3</v>
      </c>
      <c r="B332" s="651" t="s">
        <v>1133</v>
      </c>
      <c r="C332" s="623"/>
      <c r="D332" s="623"/>
      <c r="E332" s="623">
        <v>1421.83</v>
      </c>
      <c r="F332" s="623">
        <v>1421.83</v>
      </c>
      <c r="G332" s="623"/>
      <c r="H332" s="619"/>
      <c r="I332" s="619"/>
      <c r="J332" s="653" t="s">
        <v>1130</v>
      </c>
      <c r="K332" s="630">
        <v>3.0000000000000001E-3</v>
      </c>
    </row>
    <row r="333" spans="1:11">
      <c r="A333" s="621">
        <v>7.4</v>
      </c>
      <c r="B333" s="651" t="s">
        <v>1134</v>
      </c>
      <c r="C333" s="623"/>
      <c r="D333" s="623"/>
      <c r="E333" s="623">
        <v>1420.51</v>
      </c>
      <c r="F333" s="623">
        <v>1420.51</v>
      </c>
      <c r="G333" s="623"/>
      <c r="H333" s="619"/>
      <c r="I333" s="619"/>
      <c r="J333" s="653" t="s">
        <v>1130</v>
      </c>
      <c r="K333" s="630">
        <v>3.0000000000000001E-3</v>
      </c>
    </row>
    <row r="334" spans="1:11">
      <c r="A334" s="621">
        <v>8</v>
      </c>
      <c r="B334" s="651" t="s">
        <v>1135</v>
      </c>
      <c r="C334" s="623"/>
      <c r="D334" s="623"/>
      <c r="E334" s="623">
        <v>1733.54</v>
      </c>
      <c r="F334" s="623">
        <v>1733.54</v>
      </c>
      <c r="G334" s="623"/>
      <c r="H334" s="619"/>
      <c r="I334" s="619"/>
      <c r="J334" s="653" t="s">
        <v>1136</v>
      </c>
      <c r="K334" s="630">
        <v>3.7000000000000002E-3</v>
      </c>
    </row>
    <row r="335" spans="1:11">
      <c r="A335" s="621">
        <v>9</v>
      </c>
      <c r="B335" s="651" t="s">
        <v>1137</v>
      </c>
      <c r="C335" s="623"/>
      <c r="D335" s="623"/>
      <c r="E335" s="623">
        <v>1733.54</v>
      </c>
      <c r="F335" s="623">
        <v>1733.54</v>
      </c>
      <c r="G335" s="623"/>
      <c r="H335" s="619"/>
      <c r="I335" s="619"/>
      <c r="J335" s="653" t="s">
        <v>1138</v>
      </c>
      <c r="K335" s="630">
        <v>3.7000000000000002E-3</v>
      </c>
    </row>
    <row r="336" spans="1:11">
      <c r="A336" s="621">
        <v>10</v>
      </c>
      <c r="B336" s="651" t="s">
        <v>1139</v>
      </c>
      <c r="C336" s="623"/>
      <c r="D336" s="623"/>
      <c r="E336" s="623">
        <v>141.03</v>
      </c>
      <c r="F336" s="623">
        <v>141.03</v>
      </c>
      <c r="G336" s="623"/>
      <c r="H336" s="619"/>
      <c r="I336" s="619"/>
      <c r="J336" s="653" t="s">
        <v>1140</v>
      </c>
      <c r="K336" s="630">
        <v>2.9999999999999997E-4</v>
      </c>
    </row>
    <row r="337" spans="1:11">
      <c r="A337" s="621">
        <v>10.1</v>
      </c>
      <c r="B337" s="651" t="s">
        <v>1141</v>
      </c>
      <c r="C337" s="623"/>
      <c r="D337" s="623"/>
      <c r="E337" s="623">
        <v>100.22</v>
      </c>
      <c r="F337" s="623">
        <v>100.22</v>
      </c>
      <c r="G337" s="623"/>
      <c r="H337" s="619"/>
      <c r="I337" s="619"/>
      <c r="J337" s="634"/>
      <c r="K337" s="630">
        <v>2.0000000000000001E-4</v>
      </c>
    </row>
    <row r="338" spans="1:11">
      <c r="A338" s="621">
        <v>10.199999999999999</v>
      </c>
      <c r="B338" s="651" t="s">
        <v>1142</v>
      </c>
      <c r="C338" s="623"/>
      <c r="D338" s="623"/>
      <c r="E338" s="623">
        <v>40.81</v>
      </c>
      <c r="F338" s="623">
        <v>40.81</v>
      </c>
      <c r="G338" s="623"/>
      <c r="H338" s="619"/>
      <c r="I338" s="619"/>
      <c r="J338" s="634"/>
      <c r="K338" s="630">
        <v>1E-4</v>
      </c>
    </row>
    <row r="339" spans="1:11">
      <c r="A339" s="621" t="s">
        <v>1143</v>
      </c>
      <c r="B339" s="651" t="s">
        <v>1144</v>
      </c>
      <c r="C339" s="623"/>
      <c r="D339" s="623"/>
      <c r="E339" s="623">
        <v>17.760000000000002</v>
      </c>
      <c r="F339" s="623">
        <v>17.760000000000002</v>
      </c>
      <c r="G339" s="623"/>
      <c r="H339" s="619"/>
      <c r="I339" s="619"/>
      <c r="J339" s="634"/>
      <c r="K339" s="630">
        <v>0</v>
      </c>
    </row>
    <row r="340" spans="1:11">
      <c r="A340" s="621" t="s">
        <v>1145</v>
      </c>
      <c r="B340" s="651" t="s">
        <v>1146</v>
      </c>
      <c r="C340" s="623"/>
      <c r="D340" s="623"/>
      <c r="E340" s="623">
        <v>10</v>
      </c>
      <c r="F340" s="623">
        <v>10</v>
      </c>
      <c r="G340" s="623"/>
      <c r="H340" s="619"/>
      <c r="I340" s="619"/>
      <c r="J340" s="634"/>
      <c r="K340" s="630">
        <v>0</v>
      </c>
    </row>
    <row r="341" spans="1:11">
      <c r="A341" s="621" t="s">
        <v>1147</v>
      </c>
      <c r="B341" s="651" t="s">
        <v>1148</v>
      </c>
      <c r="C341" s="623"/>
      <c r="D341" s="623"/>
      <c r="E341" s="623">
        <v>13.06</v>
      </c>
      <c r="F341" s="623">
        <v>13.06</v>
      </c>
      <c r="G341" s="623"/>
      <c r="H341" s="619"/>
      <c r="I341" s="619"/>
      <c r="J341" s="634"/>
      <c r="K341" s="630">
        <v>0</v>
      </c>
    </row>
    <row r="342" spans="1:11">
      <c r="A342" s="621">
        <v>11</v>
      </c>
      <c r="B342" s="651" t="s">
        <v>1149</v>
      </c>
      <c r="C342" s="623"/>
      <c r="D342" s="623"/>
      <c r="E342" s="623">
        <v>72.349999999999994</v>
      </c>
      <c r="F342" s="623">
        <v>72.349999999999994</v>
      </c>
      <c r="G342" s="623"/>
      <c r="H342" s="623"/>
      <c r="I342" s="623"/>
      <c r="J342" s="634"/>
      <c r="K342" s="630">
        <v>2.0000000000000001E-4</v>
      </c>
    </row>
    <row r="343" spans="1:11">
      <c r="A343" s="621">
        <v>12</v>
      </c>
      <c r="B343" s="651" t="s">
        <v>1150</v>
      </c>
      <c r="C343" s="623"/>
      <c r="D343" s="623"/>
      <c r="E343" s="623">
        <v>116.03</v>
      </c>
      <c r="F343" s="623">
        <v>116.03</v>
      </c>
      <c r="G343" s="623"/>
      <c r="H343" s="623"/>
      <c r="I343" s="623"/>
      <c r="J343" s="634"/>
      <c r="K343" s="630">
        <v>2.0000000000000001E-4</v>
      </c>
    </row>
    <row r="344" spans="1:11">
      <c r="A344" s="621">
        <v>13</v>
      </c>
      <c r="B344" s="651" t="s">
        <v>1151</v>
      </c>
      <c r="C344" s="623"/>
      <c r="D344" s="623"/>
      <c r="E344" s="623">
        <v>40</v>
      </c>
      <c r="F344" s="623">
        <v>40</v>
      </c>
      <c r="G344" s="623"/>
      <c r="H344" s="623"/>
      <c r="I344" s="623"/>
      <c r="J344" s="634"/>
      <c r="K344" s="630">
        <v>1E-4</v>
      </c>
    </row>
    <row r="345" spans="1:11">
      <c r="A345" s="621">
        <v>14</v>
      </c>
      <c r="B345" s="651" t="s">
        <v>1152</v>
      </c>
      <c r="C345" s="623"/>
      <c r="D345" s="623"/>
      <c r="E345" s="623">
        <v>782.14</v>
      </c>
      <c r="F345" s="623">
        <v>782.14</v>
      </c>
      <c r="G345" s="623"/>
      <c r="H345" s="623"/>
      <c r="I345" s="623"/>
      <c r="J345" s="634"/>
      <c r="K345" s="630">
        <v>1.6999999999999999E-3</v>
      </c>
    </row>
    <row r="346" spans="1:11">
      <c r="A346" s="621">
        <v>15</v>
      </c>
      <c r="B346" s="651" t="s">
        <v>1153</v>
      </c>
      <c r="C346" s="623"/>
      <c r="D346" s="623"/>
      <c r="E346" s="623">
        <v>40</v>
      </c>
      <c r="F346" s="623">
        <v>40</v>
      </c>
      <c r="G346" s="623"/>
      <c r="H346" s="623"/>
      <c r="I346" s="623"/>
      <c r="J346" s="634"/>
      <c r="K346" s="630">
        <v>1E-4</v>
      </c>
    </row>
    <row r="347" spans="1:11">
      <c r="A347" s="621">
        <v>16</v>
      </c>
      <c r="B347" s="651" t="s">
        <v>1154</v>
      </c>
      <c r="C347" s="623"/>
      <c r="D347" s="623"/>
      <c r="E347" s="623">
        <v>50</v>
      </c>
      <c r="F347" s="623">
        <v>50</v>
      </c>
      <c r="G347" s="623"/>
      <c r="H347" s="623"/>
      <c r="I347" s="623"/>
      <c r="J347" s="634"/>
      <c r="K347" s="630">
        <v>1E-4</v>
      </c>
    </row>
    <row r="348" spans="1:11">
      <c r="A348" s="621">
        <v>17</v>
      </c>
      <c r="B348" s="651" t="s">
        <v>1155</v>
      </c>
      <c r="C348" s="623"/>
      <c r="D348" s="623"/>
      <c r="E348" s="623">
        <v>100</v>
      </c>
      <c r="F348" s="623">
        <v>100</v>
      </c>
      <c r="G348" s="623"/>
      <c r="H348" s="623"/>
      <c r="I348" s="623"/>
      <c r="J348" s="634"/>
      <c r="K348" s="630">
        <v>2.0000000000000001E-4</v>
      </c>
    </row>
    <row r="349" spans="1:11">
      <c r="A349" s="621">
        <v>18</v>
      </c>
      <c r="B349" s="654" t="s">
        <v>1156</v>
      </c>
      <c r="C349" s="623"/>
      <c r="D349" s="623"/>
      <c r="E349" s="623">
        <v>2426.9499999999998</v>
      </c>
      <c r="F349" s="623">
        <v>2426.9499999999998</v>
      </c>
      <c r="G349" s="623"/>
      <c r="H349" s="623"/>
      <c r="I349" s="623"/>
      <c r="J349" s="634"/>
      <c r="K349" s="630">
        <v>5.1000000000000004E-3</v>
      </c>
    </row>
    <row r="350" spans="1:11">
      <c r="A350" s="615" t="s">
        <v>1157</v>
      </c>
      <c r="B350" s="650" t="s">
        <v>1158</v>
      </c>
      <c r="C350" s="619"/>
      <c r="D350" s="619"/>
      <c r="E350" s="619"/>
      <c r="F350" s="619">
        <v>18661.75</v>
      </c>
      <c r="G350" s="623"/>
      <c r="H350" s="655"/>
      <c r="I350" s="623"/>
      <c r="J350" s="623" t="s">
        <v>1159</v>
      </c>
      <c r="K350" s="633">
        <v>3.9399999999999998E-2</v>
      </c>
    </row>
    <row r="351" spans="1:11">
      <c r="A351" s="615" t="s">
        <v>1160</v>
      </c>
      <c r="B351" s="650" t="s">
        <v>1161</v>
      </c>
      <c r="C351" s="619"/>
      <c r="D351" s="619"/>
      <c r="E351" s="619">
        <v>55251.96</v>
      </c>
      <c r="F351" s="619">
        <v>55251.96</v>
      </c>
      <c r="G351" s="623"/>
      <c r="H351" s="655"/>
      <c r="I351" s="623"/>
      <c r="J351" s="634"/>
      <c r="K351" s="630">
        <v>0.1167</v>
      </c>
    </row>
    <row r="352" spans="1:11">
      <c r="A352" s="621">
        <v>1</v>
      </c>
      <c r="B352" s="651" t="s">
        <v>1162</v>
      </c>
      <c r="C352" s="623"/>
      <c r="D352" s="623"/>
      <c r="E352" s="623">
        <v>50951.96</v>
      </c>
      <c r="F352" s="623">
        <v>50951.96</v>
      </c>
      <c r="G352" s="623"/>
      <c r="H352" s="655"/>
      <c r="I352" s="623"/>
      <c r="J352" s="634"/>
      <c r="K352" s="630">
        <v>0.1076</v>
      </c>
    </row>
    <row r="353" spans="1:11">
      <c r="A353" s="621">
        <v>1.1000000000000001</v>
      </c>
      <c r="B353" s="651" t="s">
        <v>1163</v>
      </c>
      <c r="C353" s="623"/>
      <c r="D353" s="623"/>
      <c r="E353" s="623">
        <v>30571.18</v>
      </c>
      <c r="F353" s="623">
        <v>30571.18</v>
      </c>
      <c r="G353" s="623">
        <v>1019.04</v>
      </c>
      <c r="H353" s="624" t="s">
        <v>1164</v>
      </c>
      <c r="I353" s="623">
        <v>30</v>
      </c>
      <c r="J353" s="634"/>
      <c r="K353" s="630">
        <v>6.4600000000000005E-2</v>
      </c>
    </row>
    <row r="354" spans="1:11">
      <c r="A354" s="621">
        <v>1.2</v>
      </c>
      <c r="B354" s="651" t="s">
        <v>1165</v>
      </c>
      <c r="C354" s="623"/>
      <c r="D354" s="623"/>
      <c r="E354" s="623">
        <v>20380.79</v>
      </c>
      <c r="F354" s="623">
        <v>20380.79</v>
      </c>
      <c r="G354" s="623">
        <v>1019.04</v>
      </c>
      <c r="H354" s="624" t="s">
        <v>1164</v>
      </c>
      <c r="I354" s="623">
        <v>20</v>
      </c>
      <c r="J354" s="634"/>
      <c r="K354" s="630">
        <v>4.2999999999999997E-2</v>
      </c>
    </row>
    <row r="355" spans="1:11">
      <c r="A355" s="621">
        <v>2</v>
      </c>
      <c r="B355" s="651" t="s">
        <v>1166</v>
      </c>
      <c r="C355" s="623"/>
      <c r="D355" s="623"/>
      <c r="E355" s="656">
        <v>3000</v>
      </c>
      <c r="F355" s="623">
        <v>3000</v>
      </c>
      <c r="G355" s="623"/>
      <c r="H355" s="655"/>
      <c r="I355" s="623"/>
      <c r="J355" s="634"/>
      <c r="K355" s="630">
        <v>6.3E-3</v>
      </c>
    </row>
    <row r="356" spans="1:11">
      <c r="A356" s="621">
        <v>3</v>
      </c>
      <c r="B356" s="651" t="s">
        <v>1167</v>
      </c>
      <c r="C356" s="623"/>
      <c r="D356" s="623"/>
      <c r="E356" s="656">
        <v>600</v>
      </c>
      <c r="F356" s="623">
        <v>600</v>
      </c>
      <c r="G356" s="623"/>
      <c r="H356" s="655"/>
      <c r="I356" s="623"/>
      <c r="J356" s="634"/>
      <c r="K356" s="630">
        <v>1.2999999999999999E-3</v>
      </c>
    </row>
    <row r="357" spans="1:11">
      <c r="A357" s="621">
        <v>4</v>
      </c>
      <c r="B357" s="651" t="s">
        <v>1168</v>
      </c>
      <c r="C357" s="623"/>
      <c r="D357" s="623"/>
      <c r="E357" s="656">
        <v>700</v>
      </c>
      <c r="F357" s="623">
        <v>700</v>
      </c>
      <c r="G357" s="623"/>
      <c r="H357" s="655"/>
      <c r="I357" s="623"/>
      <c r="J357" s="634"/>
      <c r="K357" s="630">
        <v>1.5E-3</v>
      </c>
    </row>
    <row r="358" spans="1:11">
      <c r="A358" s="615" t="s">
        <v>1169</v>
      </c>
      <c r="B358" s="650" t="s">
        <v>1170</v>
      </c>
      <c r="C358" s="619"/>
      <c r="D358" s="619"/>
      <c r="E358" s="619"/>
      <c r="F358" s="619">
        <v>447148.63</v>
      </c>
      <c r="G358" s="623"/>
      <c r="H358" s="655"/>
      <c r="I358" s="623"/>
      <c r="J358" s="653" t="s">
        <v>1171</v>
      </c>
      <c r="K358" s="630">
        <v>0.94430000000000003</v>
      </c>
    </row>
    <row r="359" spans="1:11">
      <c r="A359" s="615" t="s">
        <v>1172</v>
      </c>
      <c r="B359" s="650" t="s">
        <v>1173</v>
      </c>
      <c r="C359" s="657"/>
      <c r="D359" s="657"/>
      <c r="E359" s="657"/>
      <c r="F359" s="619">
        <v>24123</v>
      </c>
      <c r="G359" s="637"/>
      <c r="H359" s="658"/>
      <c r="I359" s="657"/>
      <c r="J359" s="623"/>
      <c r="K359" s="633">
        <v>5.0900000000000001E-2</v>
      </c>
    </row>
    <row r="360" spans="1:11">
      <c r="A360" s="621">
        <v>1</v>
      </c>
      <c r="B360" s="651" t="s">
        <v>1174</v>
      </c>
      <c r="C360" s="639"/>
      <c r="D360" s="639"/>
      <c r="E360" s="639"/>
      <c r="F360" s="623">
        <v>21930</v>
      </c>
      <c r="G360" s="639"/>
      <c r="H360" s="659"/>
      <c r="I360" s="639"/>
      <c r="J360" s="634"/>
      <c r="K360" s="630">
        <v>4.6300000000000001E-2</v>
      </c>
    </row>
    <row r="361" spans="1:11">
      <c r="A361" s="621">
        <v>2</v>
      </c>
      <c r="B361" s="651" t="s">
        <v>1175</v>
      </c>
      <c r="C361" s="639"/>
      <c r="D361" s="639"/>
      <c r="E361" s="639"/>
      <c r="F361" s="623">
        <v>731</v>
      </c>
      <c r="G361" s="639"/>
      <c r="H361" s="659"/>
      <c r="I361" s="639"/>
      <c r="J361" s="634"/>
      <c r="K361" s="630">
        <v>1.5E-3</v>
      </c>
    </row>
    <row r="362" spans="1:11">
      <c r="A362" s="621">
        <v>3</v>
      </c>
      <c r="B362" s="651" t="s">
        <v>1176</v>
      </c>
      <c r="C362" s="639"/>
      <c r="D362" s="639"/>
      <c r="E362" s="639"/>
      <c r="F362" s="623">
        <v>1462</v>
      </c>
      <c r="G362" s="639"/>
      <c r="H362" s="659"/>
      <c r="I362" s="639"/>
      <c r="J362" s="634"/>
      <c r="K362" s="630">
        <v>3.0999999999999999E-3</v>
      </c>
    </row>
    <row r="363" spans="1:11">
      <c r="A363" s="615" t="s">
        <v>1177</v>
      </c>
      <c r="B363" s="650" t="s">
        <v>1178</v>
      </c>
      <c r="C363" s="628"/>
      <c r="D363" s="628"/>
      <c r="E363" s="628"/>
      <c r="F363" s="619">
        <v>2233.21</v>
      </c>
      <c r="G363" s="628"/>
      <c r="H363" s="628"/>
      <c r="I363" s="628"/>
      <c r="J363" s="634"/>
      <c r="K363" s="630">
        <v>4.7000000000000002E-3</v>
      </c>
    </row>
    <row r="364" spans="1:11">
      <c r="A364" s="615" t="s">
        <v>1179</v>
      </c>
      <c r="B364" s="650" t="s">
        <v>1180</v>
      </c>
      <c r="C364" s="619"/>
      <c r="D364" s="619"/>
      <c r="E364" s="619"/>
      <c r="F364" s="619">
        <v>473504.84</v>
      </c>
      <c r="G364" s="623"/>
      <c r="H364" s="660"/>
      <c r="I364" s="619"/>
      <c r="J364" s="624" t="s">
        <v>1181</v>
      </c>
      <c r="K364" s="633">
        <v>1</v>
      </c>
    </row>
  </sheetData>
  <mergeCells count="8">
    <mergeCell ref="J2:J3"/>
    <mergeCell ref="K2:K3"/>
    <mergeCell ref="C2:F2"/>
    <mergeCell ref="G2:I2"/>
    <mergeCell ref="G3:H3"/>
    <mergeCell ref="G4:I4"/>
    <mergeCell ref="A2:A3"/>
    <mergeCell ref="B2:B3"/>
  </mergeCells>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PP_1022-ENG</vt:lpstr>
      <vt:lpstr>采购计划1225_中文</vt:lpstr>
      <vt:lpstr>PP_1225-ENG</vt:lpstr>
      <vt:lpstr>采购计划0530_中文</vt:lpstr>
      <vt:lpstr>PP_0530-ENG</vt:lpstr>
      <vt:lpstr>时间表_1225-CHN</vt:lpstr>
      <vt:lpstr>采购计划0422_中文 (2)</vt:lpstr>
      <vt:lpstr>PP_0422-ENG (2)</vt:lpstr>
      <vt:lpstr>20231229预算(绿化纳入单工)</vt:lpstr>
      <vt:lpstr>采购计划_20231218</vt:lpstr>
      <vt:lpstr>20231207预算</vt:lpstr>
      <vt:lpstr>工艺设备投资(前表4.2))_20231212</vt:lpstr>
      <vt:lpstr>20231205可研预算</vt:lpstr>
      <vt:lpstr>1205V2(FSR)</vt:lpstr>
      <vt:lpstr>20231019可研预算</vt:lpstr>
      <vt:lpstr>投融资计划</vt:lpstr>
      <vt:lpstr>'PP_1022-ENG'!Print_Area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dc:creator>
  <cp:lastModifiedBy>Ji Huang</cp:lastModifiedBy>
  <cp:revision>1</cp:revision>
  <cp:lastPrinted>2025-01-24T09:41:00Z</cp:lastPrinted>
  <dcterms:created xsi:type="dcterms:W3CDTF">2006-09-13T11:21:00Z</dcterms:created>
  <dcterms:modified xsi:type="dcterms:W3CDTF">2025-10-28T06:32:31Z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ICV">
    <vt:lpwstr>AA583E696594457CA2DCB798D7218A4A_13</vt:lpwstr>
  </property>
  <property fmtid="{D5CDD505-2E9C-101B-9397-08002B2CF9AE}" pid="4" name="MSIP_Label_2b41c926-a14a-41de-ac3f-1745125a8630_Enabled">
    <vt:lpwstr>true</vt:lpwstr>
  </property>
  <property fmtid="{D5CDD505-2E9C-101B-9397-08002B2CF9AE}" pid="5" name="MSIP_Label_2b41c926-a14a-41de-ac3f-1745125a8630_SetDate">
    <vt:lpwstr>2023-04-28T07:19:12Z</vt:lpwstr>
  </property>
  <property fmtid="{D5CDD505-2E9C-101B-9397-08002B2CF9AE}" pid="6" name="MSIP_Label_2b41c926-a14a-41de-ac3f-1745125a8630_Method">
    <vt:lpwstr>Standard</vt:lpwstr>
  </property>
  <property fmtid="{D5CDD505-2E9C-101B-9397-08002B2CF9AE}" pid="7" name="MSIP_Label_2b41c926-a14a-41de-ac3f-1745125a8630_Name">
    <vt:lpwstr>OFFICIAL USE ONLY</vt:lpwstr>
  </property>
  <property fmtid="{D5CDD505-2E9C-101B-9397-08002B2CF9AE}" pid="8" name="MSIP_Label_2b41c926-a14a-41de-ac3f-1745125a8630_SiteId">
    <vt:lpwstr>31ea652b-27c2-4f52-9f81-91ce42d48e6f</vt:lpwstr>
  </property>
  <property fmtid="{D5CDD505-2E9C-101B-9397-08002B2CF9AE}" pid="9" name="MSIP_Label_2b41c926-a14a-41de-ac3f-1745125a8630_ActionId">
    <vt:lpwstr>e39ec864-861a-4360-8dbd-87592d9890db</vt:lpwstr>
  </property>
  <property fmtid="{D5CDD505-2E9C-101B-9397-08002B2CF9AE}" pid="10" name="MSIP_Label_2b41c926-a14a-41de-ac3f-1745125a8630_ContentBits">
    <vt:lpwstr>1</vt:lpwstr>
  </property>
</Properties>
</file>